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https://nysemail.sharepoint.com/sites/DEC/DAR/BAQP/Economy-wide/Outreach/253 Outreach/Public/GHG Estimation Tool/"/>
    </mc:Choice>
  </mc:AlternateContent>
  <xr:revisionPtr revIDLastSave="0" documentId="8_{9124AAB5-0384-4E9C-8D57-055C7B1A4267}" xr6:coauthVersionLast="47" xr6:coauthVersionMax="47" xr10:uidLastSave="{00000000-0000-0000-0000-000000000000}"/>
  <bookViews>
    <workbookView xWindow="9876" yWindow="0" windowWidth="13320" windowHeight="12336" xr2:uid="{F5530FF7-EB4A-4801-8B30-E310F77E5BA4}"/>
  </bookViews>
  <sheets>
    <sheet name="Table of Contents" sheetId="11" r:id="rId1"/>
    <sheet name="Fuel Combustion Emissions" sheetId="1" r:id="rId2"/>
    <sheet name="MSW Landfills" sheetId="5" r:id="rId3"/>
    <sheet name="Industrial Landfills" sheetId="13" r:id="rId4"/>
    <sheet name="Cement Production" sheetId="7" r:id="rId5"/>
    <sheet name="Glass Production" sheetId="8" r:id="rId6"/>
    <sheet name="Electronics Manufacturing" sheetId="9" r:id="rId7"/>
    <sheet name="Emissions Factors" sheetId="3" r:id="rId8"/>
    <sheet name="Landfill Cover Types" sheetId="6" r:id="rId9"/>
    <sheet name="Industrial Landfill Tables" sheetId="14" r:id="rId10"/>
    <sheet name="Change Log" sheetId="12" r:id="rId11"/>
    <sheet name="F-gas EFs (hide)" sheetId="10" state="hidden" r:id="rId12"/>
    <sheet name="list items (hide)" sheetId="4" state="hidden" r:id="rId13"/>
  </sheets>
  <definedNames>
    <definedName name="_xlnm._FilterDatabase" localSheetId="1" hidden="1">'Fuel Combustion Emissions'!$I$11:$I$12</definedName>
    <definedName name="cover_type">'Industrial Landfills'!$D$107</definedName>
    <definedName name="DOC" localSheetId="3">'Industrial Landfills'!#REF!</definedName>
    <definedName name="DOC">'MSW Landfills'!$F$22</definedName>
    <definedName name="DOCF" localSheetId="3">'Industrial Landfills'!$B$20</definedName>
    <definedName name="DOCF">'MSW Landfills'!$F$23</definedName>
    <definedName name="Emissions_Type">'list items (hide)'!$I$5:$I$6</definedName>
    <definedName name="F" localSheetId="3">'Industrial Landfills'!$B$21</definedName>
    <definedName name="F">'MSW Landfills'!$F$24</definedName>
    <definedName name="Fuel_Type">'list items (hide)'!$A$2:$A$36</definedName>
    <definedName name="k" localSheetId="3">'Industrial Landfills'!#REF!</definedName>
    <definedName name="k">'MSW Landfills'!$F$25</definedName>
    <definedName name="MCF" localSheetId="3">'Industrial Landfills'!$B$19</definedName>
    <definedName name="MCF">'MSW Landfills'!$F$21</definedName>
    <definedName name="OX" localSheetId="3">'Industrial Landfills'!#REF!</definedName>
    <definedName name="OX">'MSW Landfills'!$F$26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3" l="1"/>
  <c r="B35" i="13"/>
  <c r="C27" i="13"/>
  <c r="C28" i="13"/>
  <c r="C30" i="13"/>
  <c r="C31" i="13"/>
  <c r="C33" i="13"/>
  <c r="C26" i="13"/>
  <c r="D39" i="13"/>
  <c r="B22" i="13"/>
  <c r="E39" i="13" l="1"/>
  <c r="D40" i="13"/>
  <c r="E40" i="13" s="1"/>
  <c r="D41" i="13"/>
  <c r="E41" i="13" s="1"/>
  <c r="D42" i="13"/>
  <c r="E42" i="13" s="1"/>
  <c r="D43" i="13"/>
  <c r="E43" i="13" s="1"/>
  <c r="D44" i="13"/>
  <c r="E44" i="13" s="1"/>
  <c r="D45" i="13"/>
  <c r="E45" i="13" s="1"/>
  <c r="D46" i="13"/>
  <c r="E46" i="13" s="1"/>
  <c r="D47" i="13"/>
  <c r="E47" i="13" s="1"/>
  <c r="D48" i="13"/>
  <c r="E48" i="13" s="1"/>
  <c r="D49" i="13"/>
  <c r="E49" i="13" s="1"/>
  <c r="D50" i="13"/>
  <c r="E50" i="13" s="1"/>
  <c r="D51" i="13"/>
  <c r="E51" i="13" s="1"/>
  <c r="D52" i="13"/>
  <c r="E52" i="13" s="1"/>
  <c r="D53" i="13"/>
  <c r="E53" i="13" s="1"/>
  <c r="D54" i="13"/>
  <c r="E54" i="13" s="1"/>
  <c r="D55" i="13"/>
  <c r="E55" i="13" s="1"/>
  <c r="D56" i="13"/>
  <c r="E56" i="13" s="1"/>
  <c r="D57" i="13"/>
  <c r="E57" i="13" s="1"/>
  <c r="D58" i="13"/>
  <c r="E58" i="13" s="1"/>
  <c r="D59" i="13"/>
  <c r="E59" i="13" s="1"/>
  <c r="D60" i="13"/>
  <c r="E60" i="13" s="1"/>
  <c r="D61" i="13"/>
  <c r="E61" i="13" s="1"/>
  <c r="D62" i="13"/>
  <c r="E62" i="13" s="1"/>
  <c r="D63" i="13"/>
  <c r="E63" i="13" s="1"/>
  <c r="D64" i="13"/>
  <c r="E64" i="13" s="1"/>
  <c r="D65" i="13"/>
  <c r="E65" i="13" s="1"/>
  <c r="D66" i="13"/>
  <c r="E66" i="13" s="1"/>
  <c r="D67" i="13"/>
  <c r="E67" i="13" s="1"/>
  <c r="D68" i="13"/>
  <c r="E68" i="13" s="1"/>
  <c r="D69" i="13"/>
  <c r="E69" i="13" s="1"/>
  <c r="D70" i="13"/>
  <c r="E70" i="13" s="1"/>
  <c r="D71" i="13"/>
  <c r="E71" i="13" s="1"/>
  <c r="D72" i="13"/>
  <c r="E72" i="13" s="1"/>
  <c r="D73" i="13"/>
  <c r="E73" i="13" s="1"/>
  <c r="D74" i="13"/>
  <c r="E74" i="13" s="1"/>
  <c r="D75" i="13"/>
  <c r="E75" i="13" s="1"/>
  <c r="D76" i="13"/>
  <c r="E76" i="13" s="1"/>
  <c r="D77" i="13"/>
  <c r="E77" i="13" s="1"/>
  <c r="D78" i="13"/>
  <c r="E78" i="13" s="1"/>
  <c r="D79" i="13"/>
  <c r="E79" i="13" s="1"/>
  <c r="D80" i="13"/>
  <c r="E80" i="13" s="1"/>
  <c r="D81" i="13"/>
  <c r="E81" i="13" s="1"/>
  <c r="D82" i="13"/>
  <c r="E82" i="13" s="1"/>
  <c r="D83" i="13"/>
  <c r="E83" i="13" s="1"/>
  <c r="D84" i="13"/>
  <c r="E84" i="13" s="1"/>
  <c r="D85" i="13"/>
  <c r="E85" i="13" s="1"/>
  <c r="D86" i="13"/>
  <c r="E86" i="13" s="1"/>
  <c r="D87" i="13"/>
  <c r="E87" i="13" s="1"/>
  <c r="D88" i="13"/>
  <c r="E88" i="13" s="1"/>
  <c r="D89" i="13"/>
  <c r="E89" i="13" s="1"/>
  <c r="D90" i="13"/>
  <c r="E90" i="13" s="1"/>
  <c r="D91" i="13"/>
  <c r="E91" i="13" s="1"/>
  <c r="D92" i="13"/>
  <c r="E92" i="13" s="1"/>
  <c r="D93" i="13"/>
  <c r="E93" i="13" s="1"/>
  <c r="D94" i="13"/>
  <c r="E94" i="13" s="1"/>
  <c r="D95" i="13"/>
  <c r="E95" i="13" s="1"/>
  <c r="D96" i="13"/>
  <c r="E96" i="13" s="1"/>
  <c r="D97" i="13"/>
  <c r="E97" i="13" s="1"/>
  <c r="D98" i="13"/>
  <c r="E98" i="13" s="1"/>
  <c r="D99" i="13"/>
  <c r="E99" i="13" s="1"/>
  <c r="D100" i="13"/>
  <c r="E100" i="13" s="1"/>
  <c r="D101" i="13"/>
  <c r="E101" i="13" s="1"/>
  <c r="D102" i="13"/>
  <c r="E102" i="13" s="1"/>
  <c r="D103" i="13"/>
  <c r="E103" i="13" s="1"/>
  <c r="D104" i="13"/>
  <c r="E104" i="13" s="1"/>
  <c r="D105" i="13"/>
  <c r="E105" i="13" s="1"/>
  <c r="E109" i="13"/>
  <c r="B32" i="7"/>
  <c r="C13" i="1"/>
  <c r="E13" i="1"/>
  <c r="F13" i="1"/>
  <c r="B26" i="7"/>
  <c r="C91" i="5"/>
  <c r="B27" i="7"/>
  <c r="F53" i="9"/>
  <c r="F54" i="9"/>
  <c r="F55" i="9"/>
  <c r="F56" i="9"/>
  <c r="F57" i="9"/>
  <c r="F58" i="9"/>
  <c r="F59" i="9"/>
  <c r="F60" i="9"/>
  <c r="E53" i="9"/>
  <c r="E54" i="9"/>
  <c r="E55" i="9"/>
  <c r="E56" i="9"/>
  <c r="E57" i="9"/>
  <c r="E58" i="9"/>
  <c r="E59" i="9"/>
  <c r="E60" i="9"/>
  <c r="D53" i="9"/>
  <c r="D54" i="9"/>
  <c r="D55" i="9"/>
  <c r="D56" i="9"/>
  <c r="D57" i="9"/>
  <c r="D58" i="9"/>
  <c r="D59" i="9"/>
  <c r="D60" i="9"/>
  <c r="C53" i="9"/>
  <c r="C54" i="9"/>
  <c r="C55" i="9"/>
  <c r="C56" i="9"/>
  <c r="C57" i="9"/>
  <c r="C58" i="9"/>
  <c r="C59" i="9"/>
  <c r="C60" i="9"/>
  <c r="C20" i="1"/>
  <c r="B22" i="8"/>
  <c r="B26" i="8" s="1"/>
  <c r="C43" i="9"/>
  <c r="C44" i="9"/>
  <c r="C45" i="9"/>
  <c r="C46" i="9"/>
  <c r="C47" i="9"/>
  <c r="C32" i="9"/>
  <c r="C33" i="9"/>
  <c r="C34" i="9"/>
  <c r="C19" i="9"/>
  <c r="C18" i="9"/>
  <c r="C20" i="9"/>
  <c r="C21" i="9"/>
  <c r="C22" i="9"/>
  <c r="C23" i="9"/>
  <c r="B43" i="9"/>
  <c r="B44" i="9"/>
  <c r="B45" i="9"/>
  <c r="B46" i="9"/>
  <c r="B47" i="9"/>
  <c r="B32" i="9"/>
  <c r="B33" i="9"/>
  <c r="B34" i="9"/>
  <c r="B18" i="9"/>
  <c r="B19" i="9"/>
  <c r="B20" i="9"/>
  <c r="B21" i="9"/>
  <c r="B22" i="9"/>
  <c r="B23" i="9"/>
  <c r="B29" i="9"/>
  <c r="B40" i="9"/>
  <c r="B15" i="9"/>
  <c r="G13" i="1" l="1"/>
  <c r="D45" i="9"/>
  <c r="D32" i="9"/>
  <c r="G60" i="9"/>
  <c r="G59" i="9"/>
  <c r="G58" i="9"/>
  <c r="G57" i="9"/>
  <c r="G56" i="9"/>
  <c r="G55" i="9"/>
  <c r="G54" i="9"/>
  <c r="D44" i="9"/>
  <c r="D43" i="9"/>
  <c r="D34" i="9"/>
  <c r="D33" i="9"/>
  <c r="G53" i="9"/>
  <c r="D47" i="9"/>
  <c r="D46" i="9"/>
  <c r="B28" i="7"/>
  <c r="B34" i="7" s="1"/>
  <c r="D23" i="9"/>
  <c r="D19" i="9"/>
  <c r="D18" i="9"/>
  <c r="D20" i="9"/>
  <c r="D22" i="9"/>
  <c r="D21" i="9"/>
  <c r="E106" i="13" l="1"/>
  <c r="E110" i="13" s="1"/>
  <c r="E113" i="13" s="1"/>
  <c r="D35" i="9"/>
  <c r="G61" i="9"/>
  <c r="D24" i="9"/>
  <c r="D48" i="9"/>
  <c r="F18" i="1"/>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H6" i="3"/>
  <c r="H7" i="3"/>
  <c r="H8" i="3"/>
  <c r="H9" i="3"/>
  <c r="H11" i="3"/>
  <c r="H12" i="3"/>
  <c r="H13" i="3"/>
  <c r="H14" i="3"/>
  <c r="H15" i="3"/>
  <c r="H16" i="3"/>
  <c r="H17" i="3"/>
  <c r="H18" i="3"/>
  <c r="H19" i="3"/>
  <c r="H20" i="3"/>
  <c r="H21" i="3"/>
  <c r="H22" i="3"/>
  <c r="H23" i="3"/>
  <c r="H24" i="3"/>
  <c r="H25" i="3"/>
  <c r="H26" i="3"/>
  <c r="H28" i="3"/>
  <c r="H30" i="3"/>
  <c r="H31" i="3"/>
  <c r="H32" i="3"/>
  <c r="H34" i="3"/>
  <c r="H35" i="3"/>
  <c r="H36" i="3"/>
  <c r="H37" i="3"/>
  <c r="H39" i="3"/>
  <c r="H40" i="3"/>
  <c r="H42" i="3"/>
  <c r="H43" i="3"/>
  <c r="H44" i="3"/>
  <c r="H45" i="3"/>
  <c r="H5" i="3"/>
  <c r="G6" i="3"/>
  <c r="G7" i="3"/>
  <c r="G8" i="3"/>
  <c r="G9" i="3"/>
  <c r="G11" i="3"/>
  <c r="G12" i="3"/>
  <c r="G13" i="3"/>
  <c r="G14" i="3"/>
  <c r="G15" i="3"/>
  <c r="G16" i="3"/>
  <c r="G17" i="3"/>
  <c r="G18" i="3"/>
  <c r="G19" i="3"/>
  <c r="G20" i="3"/>
  <c r="G21" i="3"/>
  <c r="G22" i="3"/>
  <c r="G23" i="3"/>
  <c r="G24" i="3"/>
  <c r="G25" i="3"/>
  <c r="G26" i="3"/>
  <c r="G28" i="3"/>
  <c r="G5" i="3"/>
  <c r="C14" i="1"/>
  <c r="C15" i="1"/>
  <c r="C16" i="1"/>
  <c r="C17" i="1"/>
  <c r="C18" i="1"/>
  <c r="C19" i="1"/>
  <c r="C21" i="1"/>
  <c r="C22" i="1"/>
  <c r="C23" i="1"/>
  <c r="C24" i="1"/>
  <c r="C25" i="1"/>
  <c r="C26" i="1"/>
  <c r="C27" i="1"/>
  <c r="C28" i="1"/>
  <c r="C29" i="1"/>
  <c r="C30" i="1"/>
  <c r="C31" i="1"/>
  <c r="C32" i="1"/>
  <c r="C33" i="1"/>
  <c r="C34" i="1"/>
  <c r="C35" i="1"/>
  <c r="C36" i="1"/>
  <c r="C37" i="1"/>
  <c r="C38" i="1"/>
  <c r="C39" i="1"/>
  <c r="C40" i="1"/>
  <c r="C41" i="1"/>
  <c r="C42" i="1"/>
  <c r="C4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F14" i="1"/>
  <c r="F15" i="1"/>
  <c r="F16" i="1"/>
  <c r="F17" i="1"/>
  <c r="F19" i="1"/>
  <c r="F20" i="1"/>
  <c r="F21" i="1"/>
  <c r="F22" i="1"/>
  <c r="F23" i="1"/>
  <c r="F24" i="1"/>
  <c r="F25" i="1"/>
  <c r="F26" i="1"/>
  <c r="F27" i="1"/>
  <c r="F28" i="1"/>
  <c r="F29" i="1"/>
  <c r="F30" i="1"/>
  <c r="F31" i="1"/>
  <c r="F32" i="1"/>
  <c r="F33" i="1"/>
  <c r="F34" i="1"/>
  <c r="F35" i="1"/>
  <c r="F36" i="1"/>
  <c r="F37" i="1"/>
  <c r="F38" i="1"/>
  <c r="F39" i="1"/>
  <c r="F40" i="1"/>
  <c r="F41" i="1"/>
  <c r="F42" i="1"/>
  <c r="F43" i="1"/>
  <c r="D31" i="4"/>
  <c r="D32" i="4"/>
  <c r="D23" i="4"/>
  <c r="B40" i="3"/>
  <c r="B39" i="3"/>
  <c r="B30" i="3"/>
  <c r="B28" i="3"/>
  <c r="B63" i="9" l="1"/>
  <c r="G32" i="1"/>
  <c r="G22" i="1"/>
  <c r="G34" i="1"/>
  <c r="G16" i="1"/>
  <c r="G43" i="1"/>
  <c r="G19" i="1"/>
  <c r="G29" i="1"/>
  <c r="G37" i="1"/>
  <c r="G21" i="1"/>
  <c r="G30" i="1"/>
  <c r="G42" i="1"/>
  <c r="G27" i="1"/>
  <c r="G38" i="1"/>
  <c r="G24" i="1"/>
  <c r="G35" i="1"/>
  <c r="G40" i="1"/>
  <c r="G26" i="1"/>
  <c r="G14" i="1"/>
  <c r="G18" i="1"/>
  <c r="C88" i="5"/>
  <c r="C92" i="5" s="1"/>
  <c r="C95" i="5" s="1"/>
  <c r="G36" i="1"/>
  <c r="G28" i="1"/>
  <c r="G20" i="1"/>
  <c r="G39" i="1"/>
  <c r="G31" i="1"/>
  <c r="G23" i="1"/>
  <c r="G15" i="1"/>
  <c r="G41" i="1"/>
  <c r="G33" i="1"/>
  <c r="G25" i="1"/>
  <c r="G17" i="1"/>
  <c r="G44"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<sst xmlns="http://schemas.openxmlformats.org/spreadsheetml/2006/main" count="469" uniqueCount="284">
  <si>
    <t>GHG Emissions Estimator Tool</t>
  </si>
  <si>
    <t>Last Updated: 5/15/25</t>
  </si>
  <si>
    <t>This GHG Emissions Estimator Tool and other information can be obtained by clicking this link.</t>
  </si>
  <si>
    <t>Disclaimer</t>
  </si>
  <si>
    <r>
      <t xml:space="preserve">1. This tool may be used </t>
    </r>
    <r>
      <rPr>
        <b/>
        <sz val="11"/>
        <rFont val="Aptos Narrow"/>
        <family val="2"/>
      </rPr>
      <t xml:space="preserve">for illustrative purposes ONLY and CANNOT </t>
    </r>
    <r>
      <rPr>
        <sz val="11"/>
        <rFont val="Aptos Narrow"/>
        <family val="2"/>
      </rPr>
      <t>be used as a final or legally binding determination of an entity's obligation to report under the Mandatory Greenhouse Gas Reporting Rule (6 NYCRR Part 253).</t>
    </r>
  </si>
  <si>
    <t>2. Owners and operators of facilities within New York State will be required to report their emissions under the proposed Mandatory Greenhouse Gas Reporting Rule if they emit more than 10,000 metric tons of CO2e/year or if they are an electricity generating facility with budget units under the RGGI program (Part 242). Note that there are other emissions source categories that are proposed to be required to report under the Mandatory Greenhouse Gas Reporting Rule that are not included in this tool. For more information about the proposed thresholds of the categories not included in this tool, please refer to the Mandatory Reporting Rule Fact Sheet located on the NYS DEC Mandatory Greenhouse Gas Reporting Rule website, which is linked at the bottom of this page.</t>
  </si>
  <si>
    <r>
      <t>Notes:
1. The sheets in this workbook are locked to prevent accidental editing of formulas and variables. If you need to make any changes (for example if you do testing to determine the HHV of your fuel and would like to use that value instead of the default) the password is '</t>
    </r>
    <r>
      <rPr>
        <b/>
        <sz val="11"/>
        <rFont val="Aptos Narrow"/>
        <family val="2"/>
        <scheme val="minor"/>
      </rPr>
      <t>GHG2025</t>
    </r>
    <r>
      <rPr>
        <sz val="11"/>
        <rFont val="Aptos Narrow"/>
        <family val="2"/>
        <scheme val="minor"/>
      </rPr>
      <t xml:space="preserve">'. </t>
    </r>
    <r>
      <rPr>
        <i/>
        <sz val="11"/>
        <rFont val="Aptos Narrow"/>
        <family val="2"/>
        <scheme val="minor"/>
      </rPr>
      <t>The Department is not responsible for any miscalculations resulting from edits made to this workbook</t>
    </r>
    <r>
      <rPr>
        <sz val="11"/>
        <rFont val="Aptos Narrow"/>
        <family val="2"/>
        <scheme val="minor"/>
      </rPr>
      <t xml:space="preserve">.
2. This workbook is intended to be used in the desktop app of Microsoft Excel. While the functionality should remain the same in the browser version there may be some formatting changes that make it harder to use. </t>
    </r>
  </si>
  <si>
    <t>Emissions Sectors</t>
  </si>
  <si>
    <t>Corresponding section in Mandatory Reporting Rule</t>
  </si>
  <si>
    <t>Fuel Combustion Emissions</t>
  </si>
  <si>
    <t>MSW Landfills</t>
  </si>
  <si>
    <t>Industrial Landfills</t>
  </si>
  <si>
    <t>Cement Production</t>
  </si>
  <si>
    <t xml:space="preserve">Glass Production </t>
  </si>
  <si>
    <t>Electronics Manufacturing</t>
  </si>
  <si>
    <t>Other Resources</t>
  </si>
  <si>
    <t>NYSDEC - Mandatory Greenhouse Gas Reporting Webpage</t>
  </si>
  <si>
    <t>A log of the changes made to this sheet can be found here</t>
  </si>
  <si>
    <t>return to table of contents</t>
  </si>
  <si>
    <t>Disclaimer:</t>
  </si>
  <si>
    <r>
      <t xml:space="preserve">1. Note: This tool may be used </t>
    </r>
    <r>
      <rPr>
        <b/>
        <sz val="11"/>
        <color rgb="FF000000"/>
        <rFont val="Aptos Narrow"/>
        <family val="2"/>
      </rPr>
      <t xml:space="preserve">for illustrative purposes ONLY and CANNOT </t>
    </r>
    <r>
      <rPr>
        <sz val="11"/>
        <color rgb="FF000000"/>
        <rFont val="Aptos Narrow"/>
        <family val="2"/>
      </rPr>
      <t>be used as a final or legally binding determination of an entity's obligation to report under the Mandatory Greenhouse Gas Reporting Rule (6 NYCRR Part 253).</t>
    </r>
    <r>
      <rPr>
        <sz val="11"/>
        <color rgb="FF000000"/>
        <rFont val="Aptos Narrow"/>
        <family val="2"/>
      </rPr>
      <t xml:space="preserve"> </t>
    </r>
    <r>
      <rPr>
        <i/>
        <sz val="11"/>
        <color rgb="FF000000"/>
        <rFont val="Aptos Narrow"/>
        <family val="2"/>
      </rPr>
      <t>The Department is not responsible for any miscalculations resulting from edits made to this workbook.</t>
    </r>
  </si>
  <si>
    <t>2. Note: This estimation tool only estimates GHG emissions from fuel combustion activities and GHG emissions from upstream out-of-state. This does include GHG emissions from processes, but Reporting Entities will be required to report process emissions.</t>
  </si>
  <si>
    <t>Instructions:</t>
  </si>
  <si>
    <t xml:space="preserve">1. Enter the fuel type in the first column of the table below. The fuel option should appear in a dropdown menu.  </t>
  </si>
  <si>
    <t>2. Enter the quantity of fuel. Use gallons for liquid fuel, short tons for solid fuel, and standard cubic feet (scf) for gaseous fuel.</t>
  </si>
  <si>
    <t xml:space="preserve">3. In the fuel source enter if the fuel was produced inside of NY. Only select this option if you are sure of the origin of the fuel (ex. Landfills burning landfill gas on site) </t>
  </si>
  <si>
    <t>Fuel Type</t>
  </si>
  <si>
    <t xml:space="preserve">Fuel Qty </t>
  </si>
  <si>
    <t>Units</t>
  </si>
  <si>
    <t>Fuel Source</t>
  </si>
  <si>
    <r>
      <t>EF* (KgCO</t>
    </r>
    <r>
      <rPr>
        <vertAlign val="subscript"/>
        <sz val="11"/>
        <color theme="0"/>
        <rFont val="Aptos Narrow"/>
        <family val="2"/>
        <scheme val="minor"/>
      </rPr>
      <t>2</t>
    </r>
    <r>
      <rPr>
        <sz val="11"/>
        <color theme="0"/>
        <rFont val="Aptos Narrow"/>
        <family val="2"/>
        <scheme val="minor"/>
      </rPr>
      <t>e/MMBtu)</t>
    </r>
  </si>
  <si>
    <t>High Heat Value (MMBtu/fuel unit)</t>
  </si>
  <si>
    <r>
      <t>Emissions CO</t>
    </r>
    <r>
      <rPr>
        <vertAlign val="subscript"/>
        <sz val="11"/>
        <color theme="0"/>
        <rFont val="Aptos Narrow"/>
        <family val="2"/>
        <scheme val="minor"/>
      </rPr>
      <t>2</t>
    </r>
    <r>
      <rPr>
        <sz val="11"/>
        <color theme="0"/>
        <rFont val="Aptos Narrow"/>
        <family val="2"/>
        <scheme val="minor"/>
      </rPr>
      <t>e (MT)</t>
    </r>
  </si>
  <si>
    <t>Out of State</t>
  </si>
  <si>
    <r>
      <t>Total (MT CO</t>
    </r>
    <r>
      <rPr>
        <vertAlign val="subscript"/>
        <sz val="11"/>
        <color theme="1"/>
        <rFont val="Aptos Narrow"/>
        <family val="2"/>
        <scheme val="minor"/>
      </rPr>
      <t>2</t>
    </r>
    <r>
      <rPr>
        <sz val="11"/>
        <color theme="1"/>
        <rFont val="Aptos Narrow"/>
        <family val="2"/>
        <scheme val="minor"/>
      </rPr>
      <t>e)</t>
    </r>
  </si>
  <si>
    <t xml:space="preserve">*Emissions Factor (EF) is a unique value for determining an amount of a GHG emitted for a given quantity of activity (e.g., metric tons of carbon dioxide emitted per barrel of fossil fuel burned.). These values are taken from Tables 2-3 through Table 2-7 in the proposed Part 253 and Table C-1 in 40CFR Part 98. </t>
  </si>
  <si>
    <t>MSW Landfill Methane Emissions Generation Estimator</t>
  </si>
  <si>
    <r>
      <rPr>
        <sz val="11"/>
        <color rgb="FF000000"/>
        <rFont val="Aptos Narrow"/>
        <family val="2"/>
      </rPr>
      <t xml:space="preserve">1. Note: This tool may be used </t>
    </r>
    <r>
      <rPr>
        <b/>
        <sz val="11"/>
        <color rgb="FF000000"/>
        <rFont val="Aptos Narrow"/>
        <family val="2"/>
      </rPr>
      <t xml:space="preserve">for illustrative purposes ONLY and CANNOT </t>
    </r>
    <r>
      <rPr>
        <sz val="11"/>
        <color rgb="FF000000"/>
        <rFont val="Aptos Narrow"/>
        <family val="2"/>
      </rPr>
      <t>be used as a final or legally binding determination of an entity's obligation to report under the Mandatory Greenhouse Gas Reporting Rule (6 NYCRR Part 253).</t>
    </r>
    <r>
      <rPr>
        <sz val="11"/>
        <color rgb="FF000000"/>
        <rFont val="Aptos Narrow"/>
        <family val="2"/>
      </rPr>
      <t xml:space="preserve"> </t>
    </r>
    <r>
      <rPr>
        <i/>
        <sz val="11"/>
        <color rgb="FF000000"/>
        <rFont val="Aptos Narrow"/>
        <family val="2"/>
      </rPr>
      <t>The Department is not responsible for any miscalculations resulting from edits made to this workbook.</t>
    </r>
  </si>
  <si>
    <t>2. This tool is designed only to estimate methane emissions in an MSW landfill based on waste disposal. It does not account for captured emissions that are flared or combusted for energy. Those emissions must be calculated separately (see the fuel combustion emissions sheet).</t>
  </si>
  <si>
    <t>3. Closed landfills that have accepted waste at any point after 1960 may still need to report refer to Part 253 for reporting guidelines</t>
  </si>
  <si>
    <t>1. Enter the quantity of waste disposed based on records. Waste Quantity should be entered in metric tons of wet waste (as received).</t>
  </si>
  <si>
    <t xml:space="preserve">2. Select the type of cover material from the dropdown menu. Descriptions for each cover type can be found in the Landfill Cover Types tab. </t>
  </si>
  <si>
    <t xml:space="preserve">3. Enter the amount of CH4 collected in any gas collection systems. This should be entered as the mass of CH4 only. </t>
  </si>
  <si>
    <r>
      <rPr>
        <b/>
        <sz val="11"/>
        <color theme="1"/>
        <rFont val="Aptos Narrow"/>
        <family val="2"/>
        <scheme val="minor"/>
      </rPr>
      <t>Note:</t>
    </r>
    <r>
      <rPr>
        <sz val="11"/>
        <color theme="1"/>
        <rFont val="Aptos Narrow"/>
        <family val="2"/>
        <scheme val="minor"/>
      </rPr>
      <t xml:space="preserve"> emissions from combustion of landfill gas in onsite engines or offsite landfill gas to energy plants need to be calculated separately </t>
    </r>
  </si>
  <si>
    <t>If the amount of waste is unknown for a given year use EPA Part 98 equation HH-2 to estimate waste.</t>
  </si>
  <si>
    <r>
      <t>W</t>
    </r>
    <r>
      <rPr>
        <vertAlign val="subscript"/>
        <sz val="11"/>
        <color theme="1"/>
        <rFont val="Aptos Narrow"/>
        <family val="2"/>
        <scheme val="minor"/>
      </rPr>
      <t>X</t>
    </r>
    <r>
      <rPr>
        <sz val="11"/>
        <color theme="1"/>
        <rFont val="Aptos Narrow"/>
        <family val="2"/>
        <scheme val="minor"/>
      </rPr>
      <t xml:space="preserve"> = Quantity of waste placed in the landfill in year x (metric tons, wet basis).</t>
    </r>
  </si>
  <si>
    <r>
      <t>POP</t>
    </r>
    <r>
      <rPr>
        <vertAlign val="subscript"/>
        <sz val="11"/>
        <color theme="1"/>
        <rFont val="Aptos Narrow"/>
        <family val="2"/>
        <scheme val="minor"/>
      </rPr>
      <t>X</t>
    </r>
    <r>
      <rPr>
        <sz val="11"/>
        <color theme="1"/>
        <rFont val="Aptos Narrow"/>
        <family val="2"/>
        <scheme val="minor"/>
      </rPr>
      <t xml:space="preserve"> = Population served by the landfill in year x from city population, census data, or other estimates (capita).</t>
    </r>
  </si>
  <si>
    <r>
      <t>WDR</t>
    </r>
    <r>
      <rPr>
        <vertAlign val="subscript"/>
        <sz val="11"/>
        <color theme="1"/>
        <rFont val="Aptos Narrow"/>
        <family val="2"/>
        <scheme val="minor"/>
      </rPr>
      <t>x</t>
    </r>
    <r>
      <rPr>
        <sz val="11"/>
        <color theme="1"/>
        <rFont val="Aptos Narrow"/>
        <family val="2"/>
        <scheme val="minor"/>
      </rPr>
      <t xml:space="preserve"> = Average per capita waste disposal rate for year x from Table HH-2 of Part 98 (metric tons per capita per year, wet basis; tons/cap/yr).</t>
    </r>
  </si>
  <si>
    <t>Year</t>
  </si>
  <si>
    <t>Quantity of Waste Disposed, wet waste/ as received (Metric Tons)</t>
  </si>
  <si>
    <r>
      <t>G</t>
    </r>
    <r>
      <rPr>
        <vertAlign val="subscript"/>
        <sz val="11"/>
        <color theme="0"/>
        <rFont val="Aptos Narrow"/>
        <family val="2"/>
        <scheme val="minor"/>
      </rPr>
      <t>CH4</t>
    </r>
    <r>
      <rPr>
        <sz val="11"/>
        <color theme="0"/>
        <rFont val="Aptos Narrow"/>
        <family val="2"/>
        <scheme val="minor"/>
      </rPr>
      <t xml:space="preserve"> (MT CH4)</t>
    </r>
  </si>
  <si>
    <t>MCF</t>
  </si>
  <si>
    <t>DOC</t>
  </si>
  <si>
    <r>
      <t>DOC</t>
    </r>
    <r>
      <rPr>
        <vertAlign val="subscript"/>
        <sz val="11"/>
        <color theme="0"/>
        <rFont val="Aptos Narrow"/>
        <family val="2"/>
        <scheme val="minor"/>
      </rPr>
      <t>F</t>
    </r>
  </si>
  <si>
    <t>F</t>
  </si>
  <si>
    <t>k</t>
  </si>
  <si>
    <r>
      <t>G</t>
    </r>
    <r>
      <rPr>
        <vertAlign val="subscript"/>
        <sz val="11"/>
        <color theme="1"/>
        <rFont val="Aptos Narrow"/>
        <family val="2"/>
        <scheme val="minor"/>
      </rPr>
      <t>CH4</t>
    </r>
  </si>
  <si>
    <t>MT CH4 generated</t>
  </si>
  <si>
    <t>select type of landfill cover</t>
  </si>
  <si>
    <t>OX</t>
  </si>
  <si>
    <t>MG</t>
  </si>
  <si>
    <t xml:space="preserve">MT CH4 generated with oxidation </t>
  </si>
  <si>
    <t>CH4 captured</t>
  </si>
  <si>
    <t>MT CH4 captured from GCCS</t>
  </si>
  <si>
    <t>total emissions</t>
  </si>
  <si>
    <t xml:space="preserve">MT CO2e </t>
  </si>
  <si>
    <t>Industrial Landfill Methane Emissions Generation Estimator</t>
  </si>
  <si>
    <t>2. This tool is designed only to estimate methane emissions in an industrial landfill based on the amount and type of waste disposed. It does not account for captured emissions that are flared or combusted for energy. Those emissions must be calculated separately (see the fuel combustion emissions sheet).</t>
  </si>
  <si>
    <t>1. Select the most applicable waste stream from the past 10 years. This will determine the k value used in calculation.</t>
  </si>
  <si>
    <t>2. For each year in which multiple waste streams were accepted, determine the weighted average DOCx using the table. (Skip this step if the landfill accepts more than one type of waste.)</t>
  </si>
  <si>
    <t xml:space="preserve">3. Enter the amount of waste disposed and select the type of waste. If any year has an average DOCx that was calculated in step 2, you do not need to select a waste type just enter the DOCx. </t>
  </si>
  <si>
    <t xml:space="preserve">4. Select the type of cover material from the dropdown menu. Descriptions for each cover type can be found in the Landfill Cover Types tab. </t>
  </si>
  <si>
    <t xml:space="preserve">5. Enter the amount of CH4 collected in any gas collection systems. This should be entered as the mass of dry CH4 only. </t>
  </si>
  <si>
    <t>Waste stream</t>
  </si>
  <si>
    <r>
      <t>k (yr</t>
    </r>
    <r>
      <rPr>
        <vertAlign val="superscript"/>
        <sz val="11"/>
        <color theme="0"/>
        <rFont val="Aptos Narrow"/>
        <family val="2"/>
        <scheme val="minor"/>
      </rPr>
      <t>-1</t>
    </r>
    <r>
      <rPr>
        <sz val="11"/>
        <color theme="0"/>
        <rFont val="Aptos Narrow"/>
        <family val="2"/>
        <scheme val="minor"/>
      </rPr>
      <t>)</t>
    </r>
  </si>
  <si>
    <t>2. For each year in which multiple waste streams were accepted, determine weighted average DOCx.</t>
  </si>
  <si>
    <t>Waste Stream</t>
  </si>
  <si>
    <t>amount of waste (Metric Tons)</t>
  </si>
  <si>
    <t>DOCx</t>
  </si>
  <si>
    <t>Total</t>
  </si>
  <si>
    <t xml:space="preserve">3. Enter the quantity and type of waste disposed. If any year has an average DOC calculated above, do not select a type of waste but enter the DOC from above. </t>
  </si>
  <si>
    <t>Type of Waste Disposed</t>
  </si>
  <si>
    <t>4. select type of landfill cover</t>
  </si>
  <si>
    <t>cover type</t>
  </si>
  <si>
    <t xml:space="preserve">Methane generation with oxidation (MG) </t>
  </si>
  <si>
    <t>5. Enter the amount of CH4 captured by GCCS as dry weight of CH4 only</t>
  </si>
  <si>
    <t>MT CH4</t>
  </si>
  <si>
    <t xml:space="preserve">Cement Production </t>
  </si>
  <si>
    <r>
      <t xml:space="preserve">This tool may be used </t>
    </r>
    <r>
      <rPr>
        <b/>
        <sz val="11"/>
        <color rgb="FF000000"/>
        <rFont val="Aptos Narrow"/>
        <family val="2"/>
      </rPr>
      <t xml:space="preserve">for illustrative purposes ONLY and CANNOT </t>
    </r>
    <r>
      <rPr>
        <sz val="11"/>
        <color rgb="FF000000"/>
        <rFont val="Aptos Narrow"/>
        <family val="2"/>
      </rPr>
      <t xml:space="preserve">be used as a final or legally binding determination of an entity's obligation to report under the Mandatory Greenhouse Gas Reporting Rule (6 NYCRR Part 253). </t>
    </r>
    <r>
      <rPr>
        <i/>
        <sz val="11"/>
        <color rgb="FF000000"/>
        <rFont val="Aptos Narrow"/>
        <family val="2"/>
      </rPr>
      <t>The Department is not responsible for any miscalculations resulting from edits made to this workbook.</t>
    </r>
  </si>
  <si>
    <t xml:space="preserve">Instructions: </t>
  </si>
  <si>
    <t>1. Enter the amount of clinker produced in the year</t>
  </si>
  <si>
    <t>2. Enter the average CaO, non-calcined CaO, MgO, non-calcined MgO content of clinker in weight percent</t>
  </si>
  <si>
    <t>3. Enter the amount of kiln dust not recycled</t>
  </si>
  <si>
    <t>4. Enter the average weight percents for the kiln dust</t>
  </si>
  <si>
    <t xml:space="preserve">Note: This calculator can be used with average values for the whole facility or with kiln specific values to get the emissions from each kiln which may be more accurate than facility averages. </t>
  </si>
  <si>
    <t>Total Annual Production (tons)</t>
  </si>
  <si>
    <t>Average Weight Percent (wt%)</t>
  </si>
  <si>
    <t>Clinker</t>
  </si>
  <si>
    <t xml:space="preserve">CaO </t>
  </si>
  <si>
    <t xml:space="preserve">non-calcined CaO </t>
  </si>
  <si>
    <t xml:space="preserve">MgO </t>
  </si>
  <si>
    <t xml:space="preserve">non-calcined MgO </t>
  </si>
  <si>
    <t>Kiln dust not recycled</t>
  </si>
  <si>
    <t>EF_Cli</t>
  </si>
  <si>
    <t>EF_CKD</t>
  </si>
  <si>
    <t>CO2_cli</t>
  </si>
  <si>
    <t>MT</t>
  </si>
  <si>
    <t>Amount of raw material</t>
  </si>
  <si>
    <t>tons (dry basis)</t>
  </si>
  <si>
    <t>TOC_rm</t>
  </si>
  <si>
    <t>CO2_rm</t>
  </si>
  <si>
    <t>Total CO2e</t>
  </si>
  <si>
    <t>MT CO2e</t>
  </si>
  <si>
    <t>Glass Production</t>
  </si>
  <si>
    <r>
      <rPr>
        <sz val="11"/>
        <color rgb="FF000000"/>
        <rFont val="Aptos Narrow"/>
        <family val="2"/>
      </rPr>
      <t xml:space="preserve">This tool may be used </t>
    </r>
    <r>
      <rPr>
        <b/>
        <sz val="11"/>
        <color rgb="FF000000"/>
        <rFont val="Aptos Narrow"/>
        <family val="2"/>
      </rPr>
      <t xml:space="preserve">for illustrative purposes ONLY and CANNOT </t>
    </r>
    <r>
      <rPr>
        <sz val="11"/>
        <color rgb="FF000000"/>
        <rFont val="Aptos Narrow"/>
        <family val="2"/>
      </rPr>
      <t>be used as a final or legally binding determination of an entity's obligation to report under the Mandatory Greenhouse Gas Reporting Rule (6 NYCRR Part 253).</t>
    </r>
    <r>
      <rPr>
        <sz val="11"/>
        <color rgb="FF000000"/>
        <rFont val="Aptos Narrow"/>
        <family val="2"/>
      </rPr>
      <t xml:space="preserve"> </t>
    </r>
    <r>
      <rPr>
        <i/>
        <sz val="11"/>
        <color rgb="FF000000"/>
        <rFont val="Aptos Narrow"/>
        <family val="2"/>
      </rPr>
      <t>The Department is not responsible for any miscalculations resulting from edits made to this workbook.</t>
    </r>
  </si>
  <si>
    <t>1. Input the annual amount of carbonate based raw material into its respective column.</t>
  </si>
  <si>
    <t>2. The total CO2 process emissions from furnace is displayed below.</t>
  </si>
  <si>
    <t>Material</t>
  </si>
  <si>
    <t>Mass fraction of carbonate based material (default 1.0)</t>
  </si>
  <si>
    <t>Amount of carbonate based raw material (tons)</t>
  </si>
  <si>
    <t>Emission factor for carbonate based raw material</t>
  </si>
  <si>
    <t>Carbonate fraction (default 1.0)</t>
  </si>
  <si>
    <r>
      <t>Limestone - CaCO</t>
    </r>
    <r>
      <rPr>
        <vertAlign val="subscript"/>
        <sz val="11"/>
        <rFont val="Aptos Narrow"/>
        <family val="2"/>
        <scheme val="minor"/>
      </rPr>
      <t>3</t>
    </r>
  </si>
  <si>
    <r>
      <t>Dolomite - CaMg(CO</t>
    </r>
    <r>
      <rPr>
        <vertAlign val="subscript"/>
        <sz val="11"/>
        <rFont val="Aptos Narrow"/>
        <family val="2"/>
        <scheme val="minor"/>
      </rPr>
      <t>3</t>
    </r>
    <r>
      <rPr>
        <sz val="11"/>
        <rFont val="Aptos Narrow"/>
        <family val="2"/>
        <scheme val="minor"/>
      </rPr>
      <t>)</t>
    </r>
    <r>
      <rPr>
        <vertAlign val="subscript"/>
        <sz val="11"/>
        <rFont val="Aptos Narrow"/>
        <family val="2"/>
        <scheme val="minor"/>
      </rPr>
      <t>2</t>
    </r>
  </si>
  <si>
    <r>
      <t>Sodium Carbonate/soda ash - Na</t>
    </r>
    <r>
      <rPr>
        <vertAlign val="subscript"/>
        <sz val="11"/>
        <rFont val="Aptos Narrow"/>
        <family val="2"/>
        <scheme val="minor"/>
      </rPr>
      <t>2</t>
    </r>
    <r>
      <rPr>
        <sz val="11"/>
        <rFont val="Aptos Narrow"/>
        <family val="2"/>
        <scheme val="minor"/>
      </rPr>
      <t>CO</t>
    </r>
    <r>
      <rPr>
        <vertAlign val="subscript"/>
        <sz val="11"/>
        <rFont val="Aptos Narrow"/>
        <family val="2"/>
        <scheme val="minor"/>
      </rPr>
      <t>3</t>
    </r>
  </si>
  <si>
    <r>
      <t>Barium carbonate - BaCO</t>
    </r>
    <r>
      <rPr>
        <vertAlign val="subscript"/>
        <sz val="11"/>
        <rFont val="Aptos Narrow"/>
        <family val="2"/>
        <scheme val="minor"/>
      </rPr>
      <t>3</t>
    </r>
  </si>
  <si>
    <r>
      <t>Potassium carbonate - K</t>
    </r>
    <r>
      <rPr>
        <vertAlign val="subscript"/>
        <sz val="11"/>
        <rFont val="Aptos Narrow"/>
        <family val="2"/>
        <scheme val="minor"/>
      </rPr>
      <t>2</t>
    </r>
    <r>
      <rPr>
        <sz val="11"/>
        <rFont val="Aptos Narrow"/>
        <family val="2"/>
        <scheme val="minor"/>
      </rPr>
      <t>CO</t>
    </r>
    <r>
      <rPr>
        <vertAlign val="subscript"/>
        <sz val="11"/>
        <rFont val="Aptos Narrow"/>
        <family val="2"/>
        <scheme val="minor"/>
      </rPr>
      <t>3</t>
    </r>
  </si>
  <si>
    <r>
      <t>Lithium carbonate - Li</t>
    </r>
    <r>
      <rPr>
        <vertAlign val="subscript"/>
        <sz val="11"/>
        <rFont val="Aptos Narrow"/>
        <family val="2"/>
        <scheme val="minor"/>
      </rPr>
      <t>2</t>
    </r>
    <r>
      <rPr>
        <sz val="11"/>
        <rFont val="Aptos Narrow"/>
        <family val="2"/>
        <scheme val="minor"/>
      </rPr>
      <t>CO</t>
    </r>
    <r>
      <rPr>
        <vertAlign val="subscript"/>
        <sz val="11"/>
        <rFont val="Aptos Narrow"/>
        <family val="2"/>
        <scheme val="minor"/>
      </rPr>
      <t>3</t>
    </r>
  </si>
  <si>
    <r>
      <t>Strontium carbonate - SrCO</t>
    </r>
    <r>
      <rPr>
        <vertAlign val="subscript"/>
        <sz val="11"/>
        <rFont val="Aptos Narrow"/>
        <family val="2"/>
        <scheme val="minor"/>
      </rPr>
      <t>3</t>
    </r>
  </si>
  <si>
    <t>Equation Constants</t>
  </si>
  <si>
    <t>Conversion factor to convert from tons to metric tons</t>
  </si>
  <si>
    <r>
      <t>CO</t>
    </r>
    <r>
      <rPr>
        <vertAlign val="subscript"/>
        <sz val="11"/>
        <color theme="1"/>
        <rFont val="Aptos Narrow"/>
        <family val="2"/>
        <scheme val="minor"/>
      </rPr>
      <t>2</t>
    </r>
    <r>
      <rPr>
        <sz val="11"/>
        <color theme="1"/>
        <rFont val="Aptos Narrow"/>
        <family val="2"/>
        <scheme val="minor"/>
      </rPr>
      <t xml:space="preserve"> Process emissions from furnace (metric tons)</t>
    </r>
  </si>
  <si>
    <r>
      <t xml:space="preserve">Note this tool may be used </t>
    </r>
    <r>
      <rPr>
        <b/>
        <sz val="11"/>
        <color rgb="FF000000"/>
        <rFont val="Aptos Narrow"/>
        <family val="2"/>
      </rPr>
      <t xml:space="preserve">for illustrative purposes ONLY and CANNOT </t>
    </r>
    <r>
      <rPr>
        <sz val="11"/>
        <color rgb="FF000000"/>
        <rFont val="Aptos Narrow"/>
        <family val="2"/>
      </rPr>
      <t xml:space="preserve">be used as a final or legally binding determination of an entity's obligation to report under the Mandatory Greenhouse Gas Reporting Rule (6 NYCRR Part 253). </t>
    </r>
    <r>
      <rPr>
        <i/>
        <sz val="11"/>
        <color rgb="FF000000"/>
        <rFont val="Aptos Narrow"/>
        <family val="2"/>
      </rPr>
      <t>The Department is not responsible for any miscalculations resulting from edits made to this workbook.</t>
    </r>
  </si>
  <si>
    <t>1. Enter the maximum number of substrate starts in a month for each manufacturing process (Semiconductors, MEMS, LCD, and PV)</t>
  </si>
  <si>
    <t>2. For semiconductor, MEMS and LCD manufacturing select the types of gasses used in each process, this will automatically populate the emissions factors and GWP which will be used to calculate the emissions from each gas.</t>
  </si>
  <si>
    <t>3. For PV manufacturing select the types of gasses used and enter the amount consumed, this will automatically populate the emissions factors and GWP which will be used to calculate total emissions.</t>
  </si>
  <si>
    <t>Definitions:
MEMS - Micro Electro Mechanical Systems
LCD - Liquid Crystal Display
PV - Photovoltaics
F-gas - Fluorinated Gas</t>
  </si>
  <si>
    <t>Semiconductor production</t>
  </si>
  <si>
    <t>Max # of substrate starts in a month</t>
  </si>
  <si>
    <r>
      <t>m</t>
    </r>
    <r>
      <rPr>
        <vertAlign val="superscript"/>
        <sz val="11"/>
        <color theme="1"/>
        <rFont val="Aptos Narrow"/>
        <family val="2"/>
        <scheme val="minor"/>
      </rPr>
      <t>2</t>
    </r>
  </si>
  <si>
    <t xml:space="preserve">Manufacturing capacity </t>
  </si>
  <si>
    <t>F-gas type</t>
  </si>
  <si>
    <r>
      <t>EF (kg/m</t>
    </r>
    <r>
      <rPr>
        <vertAlign val="superscript"/>
        <sz val="11"/>
        <color theme="0"/>
        <rFont val="Aptos Narrow"/>
        <family val="2"/>
        <scheme val="minor"/>
      </rPr>
      <t>2</t>
    </r>
    <r>
      <rPr>
        <sz val="11"/>
        <color theme="0"/>
        <rFont val="Aptos Narrow"/>
        <family val="2"/>
        <scheme val="minor"/>
      </rPr>
      <t>)</t>
    </r>
  </si>
  <si>
    <t>GWP</t>
  </si>
  <si>
    <t>Ei (MT CO2e)</t>
  </si>
  <si>
    <r>
      <t>CO</t>
    </r>
    <r>
      <rPr>
        <vertAlign val="subscript"/>
        <sz val="11"/>
        <color theme="1"/>
        <rFont val="Aptos Narrow"/>
        <family val="2"/>
        <scheme val="minor"/>
      </rPr>
      <t>2</t>
    </r>
    <r>
      <rPr>
        <sz val="11"/>
        <color theme="1"/>
        <rFont val="Aptos Narrow"/>
        <family val="2"/>
        <scheme val="minor"/>
      </rPr>
      <t>e (MT)</t>
    </r>
  </si>
  <si>
    <t>MEMS production</t>
  </si>
  <si>
    <t>LCD Production</t>
  </si>
  <si>
    <t xml:space="preserve">PV Production </t>
  </si>
  <si>
    <t>Consumption (kg)</t>
  </si>
  <si>
    <t>Ui emission factor</t>
  </si>
  <si>
    <t>BCF4</t>
  </si>
  <si>
    <t>BC2F6</t>
  </si>
  <si>
    <t>Total CO2e Emissions</t>
  </si>
  <si>
    <r>
      <t>CO</t>
    </r>
    <r>
      <rPr>
        <vertAlign val="subscript"/>
        <sz val="11"/>
        <color theme="0"/>
        <rFont val="Aptos Narrow"/>
        <family val="2"/>
        <scheme val="minor"/>
      </rPr>
      <t>2</t>
    </r>
    <r>
      <rPr>
        <sz val="11"/>
        <color theme="0"/>
        <rFont val="Aptos Narrow"/>
        <family val="2"/>
        <scheme val="minor"/>
      </rPr>
      <t>e (MT)</t>
    </r>
  </si>
  <si>
    <t>Emissions Factors</t>
  </si>
  <si>
    <t>Fuel type</t>
  </si>
  <si>
    <t>High Heat Value (HHV)</t>
  </si>
  <si>
    <t>CO2 EF (kgCO2/MMBtu)</t>
  </si>
  <si>
    <t>CH4 EF (gCH4/MMBtu)</t>
  </si>
  <si>
    <t>N2O EF (gN2O/MMBtu)</t>
  </si>
  <si>
    <t>Upstream-out-of-state EF (kgCO2e/MMBtu)</t>
  </si>
  <si>
    <t>Combined EF (kgCO2e/MMBtu)</t>
  </si>
  <si>
    <t>Combined EF for NY sourced fuel (kgCO2e/MMBtu)</t>
  </si>
  <si>
    <t>Coal and Coke</t>
  </si>
  <si>
    <t>MMBtu/short ton</t>
  </si>
  <si>
    <t>Anthracite</t>
  </si>
  <si>
    <t>Bituminous</t>
  </si>
  <si>
    <t>Subbituminous</t>
  </si>
  <si>
    <t>Lignite</t>
  </si>
  <si>
    <t>Coal Coke</t>
  </si>
  <si>
    <t>Petroleum fuels</t>
  </si>
  <si>
    <t>(MMBtu/gallon)</t>
  </si>
  <si>
    <t>Distillate Fuel Oil No. 1</t>
  </si>
  <si>
    <t>Distillate Fuel Oil No. 2</t>
  </si>
  <si>
    <t>Distillate Fuel Oil No. 4</t>
  </si>
  <si>
    <t>Kerosene</t>
  </si>
  <si>
    <t>Liquefied petroleum gases (LPG) *** or Propane</t>
  </si>
  <si>
    <t>Propylene</t>
  </si>
  <si>
    <t>Ethane</t>
  </si>
  <si>
    <t>Ethylene</t>
  </si>
  <si>
    <t>Isobutane</t>
  </si>
  <si>
    <t>Isobutylene</t>
  </si>
  <si>
    <t>Butane</t>
  </si>
  <si>
    <t>Butylene</t>
  </si>
  <si>
    <t>Natural Gasoline</t>
  </si>
  <si>
    <t>Motor Gasoline (finished)</t>
  </si>
  <si>
    <t>Aviation Gasoline</t>
  </si>
  <si>
    <t>Kerosene-Type Jet Fuel</t>
  </si>
  <si>
    <t>Natural Gas</t>
  </si>
  <si>
    <t>MMBtu/scf*</t>
  </si>
  <si>
    <t>Average for pipeline NG</t>
  </si>
  <si>
    <t>Other fuels-solid</t>
  </si>
  <si>
    <t>MMBtu/short ton*</t>
  </si>
  <si>
    <t>Municipal Solid Waste</t>
  </si>
  <si>
    <t>Tires</t>
  </si>
  <si>
    <t>Plastics</t>
  </si>
  <si>
    <t>Biomass fuels (solid)</t>
  </si>
  <si>
    <t>Wood and wood residuals</t>
  </si>
  <si>
    <t>Agricultural Byproducts</t>
  </si>
  <si>
    <t>Peat</t>
  </si>
  <si>
    <t>Solid byproducts</t>
  </si>
  <si>
    <t>Biomass fuels—gaseous</t>
  </si>
  <si>
    <t>Landfill Gas</t>
  </si>
  <si>
    <t>Other Biomass Gases</t>
  </si>
  <si>
    <t>Biomass Fuels—Liquid</t>
  </si>
  <si>
    <t>MMBtu/gallon*</t>
  </si>
  <si>
    <t>Ethanol</t>
  </si>
  <si>
    <t>Biodiesel (100%)</t>
  </si>
  <si>
    <t>Rendered Animal Fat</t>
  </si>
  <si>
    <t>Vegetable Oil</t>
  </si>
  <si>
    <t>*These default HHV values cannot be used for reporting under 253 only for estimation purposes (taken from Part 98 Table C-1) not included in Part 253</t>
  </si>
  <si>
    <t>black boxed fuel types do not need to calculate upstream-out-of-state emissions</t>
  </si>
  <si>
    <t>Landfill Cover Types</t>
  </si>
  <si>
    <t>This sheet provides an explanation of the types of landfill cover used in the dropdown menu in the municipal solid waste and industrial landfill sections.</t>
  </si>
  <si>
    <t>return to MSW Landfills</t>
  </si>
  <si>
    <t>return to Industrial Landfills</t>
  </si>
  <si>
    <t>Cover Type Abbr.</t>
  </si>
  <si>
    <t>Type of Landfill Cover</t>
  </si>
  <si>
    <t>Oxidation Factor</t>
  </si>
  <si>
    <t xml:space="preserve">C2 </t>
  </si>
  <si>
    <t>C2: For landfills that have a geomembrane (synthetic) cover or other non-soil barrier meeting the definition of final cover with less than 12 inches of cover soil for greater than 50% of the landfill area containing waste</t>
  </si>
  <si>
    <t>C3</t>
  </si>
  <si>
    <t>C3: For landfills that do not meet the conditions in C2 above and for which you elect not to determine methane flux</t>
  </si>
  <si>
    <t>C4</t>
  </si>
  <si>
    <t>C4: For landfills that do not meet the conditions in C2 or C3 above and that do not have final cover, or intermediate or interim cover for greater than 50% of the landfill area containing waste</t>
  </si>
  <si>
    <t>C5</t>
  </si>
  <si>
    <r>
      <t>C5: For landfills that do not meet the conditions in C2 or C3 above and that have final cover, or intermediate or interim cover for greater than 50% of the landfill area containing waste and for which the methane flux rate is less than 10 grams per square meter per day (g/m</t>
    </r>
    <r>
      <rPr>
        <vertAlign val="superscript"/>
        <sz val="11"/>
        <rFont val="Aptos Narrow"/>
        <family val="2"/>
        <scheme val="minor"/>
      </rPr>
      <t>2</t>
    </r>
    <r>
      <rPr>
        <sz val="11"/>
        <rFont val="Aptos Narrow"/>
        <family val="2"/>
        <scheme val="minor"/>
      </rPr>
      <t>/d)</t>
    </r>
  </si>
  <si>
    <t>C6</t>
  </si>
  <si>
    <r>
      <t>C6: For landfills that do not meet the conditions in C2 or C3 above and that have final cover or intermediate or interim cover for greater than 50% of the landfill area containing waste and for which the methane flux rate is 10 to 70 g/m</t>
    </r>
    <r>
      <rPr>
        <vertAlign val="superscript"/>
        <sz val="11"/>
        <rFont val="Aptos Narrow"/>
        <family val="2"/>
        <scheme val="minor"/>
      </rPr>
      <t>2</t>
    </r>
    <r>
      <rPr>
        <sz val="11"/>
        <rFont val="Aptos Narrow"/>
        <family val="2"/>
        <scheme val="minor"/>
      </rPr>
      <t>/d</t>
    </r>
  </si>
  <si>
    <t>C7</t>
  </si>
  <si>
    <r>
      <t>C7: For landfills that do not meet the conditions in C2 or C3 above and that have final cover or intermediate or interim cover for greater than 50% of the landfill area containing waste and for which the methane flux rate is greater than 70 g/m</t>
    </r>
    <r>
      <rPr>
        <vertAlign val="superscript"/>
        <sz val="11"/>
        <rFont val="Aptos Narrow"/>
        <family val="2"/>
        <scheme val="minor"/>
      </rPr>
      <t>2</t>
    </r>
    <r>
      <rPr>
        <sz val="11"/>
        <rFont val="Aptos Narrow"/>
        <family val="2"/>
        <scheme val="minor"/>
      </rPr>
      <t>/d</t>
    </r>
  </si>
  <si>
    <t>Industrial Landfill Waste Types</t>
  </si>
  <si>
    <t>return to Industrial landfills</t>
  </si>
  <si>
    <t>values from 40CFR Part 98 Table TT-1</t>
  </si>
  <si>
    <t>Type of Waste</t>
  </si>
  <si>
    <t>DOC (weight fraction, wet basis)</t>
  </si>
  <si>
    <r>
      <t>k [wet climate] (yr</t>
    </r>
    <r>
      <rPr>
        <vertAlign val="superscript"/>
        <sz val="11"/>
        <color theme="1"/>
        <rFont val="Aptos Narrow"/>
        <family val="2"/>
        <scheme val="minor"/>
      </rPr>
      <t>-1</t>
    </r>
    <r>
      <rPr>
        <sz val="11"/>
        <color theme="1"/>
        <rFont val="Aptos Narrow"/>
        <family val="2"/>
        <scheme val="minor"/>
      </rPr>
      <t>)</t>
    </r>
  </si>
  <si>
    <t>Boiler Ash</t>
  </si>
  <si>
    <t>Wastewater Sludge</t>
  </si>
  <si>
    <t>Kraft Recovery Wastes*</t>
  </si>
  <si>
    <t>Other Pulp and Paper Wastes</t>
  </si>
  <si>
    <t>Pulp and Paper manufacturing Waste (general)</t>
  </si>
  <si>
    <t>Wood and Wood Product (other than industrial sludge)</t>
  </si>
  <si>
    <t>Construction and Demolition</t>
  </si>
  <si>
    <t>Industrial Sludge</t>
  </si>
  <si>
    <t>Food Processing</t>
  </si>
  <si>
    <t>Inert Waste**</t>
  </si>
  <si>
    <t>Other Industrial Solid Waste (not otherwise listed)</t>
  </si>
  <si>
    <t>* Kraft Recovery Wastes include green liquor dregs, slaker grits, and lime mud, which may also be referred to collectively as causticizing or recausticizing wastes.</t>
  </si>
  <si>
    <t>**  wastes listed in 40CFR § 98.460(c)(2)</t>
  </si>
  <si>
    <t>Change Log</t>
  </si>
  <si>
    <t>Upload Date</t>
  </si>
  <si>
    <t>Changes Made</t>
  </si>
  <si>
    <t>▪added industrial landfill calculations
▪set fuel combustion default to out of state fuel
▪added equation explanations
▪correction of spelling and formatting errors</t>
  </si>
  <si>
    <t>▪ Corrected emission factor for natural gasoline 
▪ Added new emissions sectors (cement production, glass production and electronics manufacturing)
▪ Added Table of contents for easier navigation
▪ Inserted hyperlinks between MSW landfills and landfill cover type sheets</t>
  </si>
  <si>
    <t>initial upload</t>
  </si>
  <si>
    <t xml:space="preserve">Semiconductors </t>
  </si>
  <si>
    <t>EF</t>
  </si>
  <si>
    <t>LCD</t>
  </si>
  <si>
    <t>MEMS</t>
  </si>
  <si>
    <t>CF4</t>
  </si>
  <si>
    <t>C2F6</t>
  </si>
  <si>
    <t>CHF3</t>
  </si>
  <si>
    <t>c-C4F8</t>
  </si>
  <si>
    <t>NF3</t>
  </si>
  <si>
    <t>SF6</t>
  </si>
  <si>
    <t>C3F8</t>
  </si>
  <si>
    <t>N2O</t>
  </si>
  <si>
    <t>Gas</t>
  </si>
  <si>
    <t xml:space="preserve">1-Ui </t>
  </si>
  <si>
    <t>Out of State EF</t>
  </si>
  <si>
    <t>In State EF</t>
  </si>
  <si>
    <t>HHV</t>
  </si>
  <si>
    <t>Anthracite (coal)</t>
  </si>
  <si>
    <t>short tons</t>
  </si>
  <si>
    <t>Bituminous (coal)</t>
  </si>
  <si>
    <t>Subbituminous (coal)</t>
  </si>
  <si>
    <t>Emissions Type</t>
  </si>
  <si>
    <t>Lignite (coal)</t>
  </si>
  <si>
    <t>In State</t>
  </si>
  <si>
    <t>gallons</t>
  </si>
  <si>
    <t>scf</t>
  </si>
  <si>
    <t>wood and wood residuals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</si>
</sst>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2205"/>
    <numFmt numFmtId="165" formatCode="0.000"/>
    <numFmt numFmtId="166" formatCode="0.0"/>
    <numFmt numFmtId="167" formatCode="_(* #,##0.0000_);_(* \(#,##0.0000\);_(* &quot;-&quot;??_);_(@_)"/>
  </numFmts>
  <fonts count="46">
    <font>
      <sz val="11"/>
      <color theme="1"/>
      <name val="Aptos Narrow"/>
      <family val="2"/>
      <scheme val="minor"/>
    </font>
    <font>
      <b/>
      <sz val="14"/>
      <color theme="1"/>
      <name val="Aptos Narrow"/>
      <family val="2"/>
      <scheme val="minor"/>
    </font>
    <font>
      <b/>
      <sz val="14"/>
      <color theme="9" tint="-0.499984740745262"/>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font>
    <font>
      <b/>
      <sz val="20"/>
      <color theme="0"/>
      <name val="Aptos Narrow"/>
      <family val="2"/>
      <scheme val="minor"/>
    </font>
    <font>
      <sz val="20"/>
      <color theme="0"/>
      <name val="Aptos Narrow"/>
      <family val="2"/>
      <scheme val="minor"/>
    </font>
    <font>
      <b/>
      <sz val="11"/>
      <color theme="0"/>
      <name val="Aptos Narrow"/>
      <family val="2"/>
      <scheme val="minor"/>
    </font>
    <font>
      <vertAlign val="subscript"/>
      <sz val="11"/>
      <color theme="1"/>
      <name val="Aptos Narrow"/>
      <family val="2"/>
      <scheme val="minor"/>
    </font>
    <font>
      <sz val="11"/>
      <color theme="1"/>
      <name val="Aptos Narrow"/>
      <family val="2"/>
      <scheme val="minor"/>
    </font>
    <font>
      <u/>
      <sz val="11"/>
      <color theme="10"/>
      <name val="Aptos Narrow"/>
      <family val="2"/>
      <scheme val="minor"/>
    </font>
    <font>
      <sz val="11"/>
      <color theme="1"/>
      <name val="Aptos Narrow"/>
      <family val="2"/>
      <scheme val="minor"/>
    </font>
    <font>
      <sz val="18"/>
      <color theme="1"/>
      <name val="Aptos Narrow"/>
      <family val="2"/>
      <scheme val="minor"/>
    </font>
    <font>
      <sz val="11"/>
      <name val="Aptos Narrow"/>
      <family val="2"/>
      <scheme val="minor"/>
    </font>
    <font>
      <vertAlign val="subscript"/>
      <sz val="11"/>
      <name val="Aptos Narrow"/>
      <family val="2"/>
      <scheme val="minor"/>
    </font>
    <font>
      <b/>
      <sz val="24"/>
      <color theme="0"/>
      <name val="Aptos Narrow"/>
      <family val="2"/>
      <scheme val="minor"/>
    </font>
    <font>
      <b/>
      <sz val="26"/>
      <color theme="0"/>
      <name val="Aptos Narrow"/>
      <family val="2"/>
      <scheme val="minor"/>
    </font>
    <font>
      <sz val="11"/>
      <color theme="9" tint="0.79998168889431442"/>
      <name val="Aptos Narrow"/>
      <family val="2"/>
      <scheme val="minor"/>
    </font>
    <font>
      <b/>
      <sz val="12"/>
      <name val="Aptos Narrow"/>
      <family val="2"/>
      <scheme val="minor"/>
    </font>
    <font>
      <b/>
      <sz val="11"/>
      <name val="Aptos Narrow"/>
      <family val="2"/>
      <scheme val="minor"/>
    </font>
    <font>
      <b/>
      <sz val="14"/>
      <name val="Aptos Narrow"/>
      <family val="2"/>
      <scheme val="minor"/>
    </font>
    <font>
      <b/>
      <sz val="16"/>
      <color theme="0"/>
      <name val="Aptos Narrow"/>
      <family val="2"/>
      <scheme val="minor"/>
    </font>
    <font>
      <b/>
      <sz val="14"/>
      <color theme="0"/>
      <name val="Aptos Narrow"/>
      <family val="2"/>
      <scheme val="minor"/>
    </font>
    <font>
      <sz val="14"/>
      <color theme="1"/>
      <name val="Aptos Narrow"/>
      <family val="2"/>
      <scheme val="minor"/>
    </font>
    <font>
      <b/>
      <sz val="11"/>
      <color rgb="FF000000"/>
      <name val="Aptos Narrow"/>
      <family val="2"/>
    </font>
    <font>
      <sz val="11"/>
      <color theme="1"/>
      <name val="Aptos Narrow"/>
      <family val="2"/>
    </font>
    <font>
      <vertAlign val="subscript"/>
      <sz val="11"/>
      <color theme="0"/>
      <name val="Aptos Narrow"/>
      <family val="2"/>
      <scheme val="minor"/>
    </font>
    <font>
      <vertAlign val="superscript"/>
      <sz val="11"/>
      <color theme="1"/>
      <name val="Aptos Narrow"/>
      <family val="2"/>
      <scheme val="minor"/>
    </font>
    <font>
      <sz val="8"/>
      <name val="Aptos Narrow"/>
      <family val="2"/>
      <scheme val="minor"/>
    </font>
    <font>
      <vertAlign val="superscript"/>
      <sz val="11"/>
      <color theme="0"/>
      <name val="Aptos Narrow"/>
      <family val="2"/>
      <scheme val="minor"/>
    </font>
    <font>
      <b/>
      <sz val="12"/>
      <color theme="0"/>
      <name val="Aptos Narrow"/>
      <family val="2"/>
      <scheme val="minor"/>
    </font>
    <font>
      <sz val="11"/>
      <name val="Aptos Narrow"/>
      <family val="2"/>
    </font>
    <font>
      <b/>
      <sz val="11"/>
      <name val="Aptos Narrow"/>
      <family val="2"/>
    </font>
    <font>
      <b/>
      <u/>
      <sz val="14"/>
      <name val="Aptos Narrow"/>
      <family val="2"/>
      <scheme val="minor"/>
    </font>
    <font>
      <sz val="14"/>
      <name val="Aptos Narrow"/>
      <family val="2"/>
      <scheme val="minor"/>
    </font>
    <font>
      <u/>
      <sz val="11"/>
      <name val="Aptos Narrow"/>
      <family val="2"/>
      <scheme val="minor"/>
    </font>
    <font>
      <b/>
      <sz val="22"/>
      <color theme="0"/>
      <name val="Aptos Narrow"/>
      <family val="2"/>
      <scheme val="minor"/>
    </font>
    <font>
      <vertAlign val="superscript"/>
      <sz val="11"/>
      <name val="Aptos Narrow"/>
      <family val="2"/>
      <scheme val="minor"/>
    </font>
    <font>
      <sz val="11"/>
      <color rgb="FF212121"/>
      <name val="Aptos Narrow"/>
      <family val="2"/>
      <scheme val="minor"/>
    </font>
    <font>
      <i/>
      <sz val="11"/>
      <name val="Aptos Narrow"/>
      <family val="2"/>
      <scheme val="minor"/>
    </font>
    <font>
      <b/>
      <u/>
      <sz val="14"/>
      <color rgb="FF233F2B"/>
      <name val="Aptos Narrow"/>
      <family val="2"/>
      <scheme val="minor"/>
    </font>
    <font>
      <u/>
      <sz val="11"/>
      <color theme="0"/>
      <name val="Aptos Narrow"/>
      <family val="2"/>
      <scheme val="minor"/>
    </font>
    <font>
      <i/>
      <sz val="11"/>
      <color rgb="FF000000"/>
      <name val="Aptos Narrow"/>
      <family val="2"/>
    </font>
    <font>
      <sz val="11"/>
      <color theme="1"/>
      <name val="Times New Roman"/>
      <family val="1"/>
    </font>
    <font>
      <b/>
      <u/>
      <sz val="11"/>
      <color theme="10"/>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89999084444715716"/>
        <bgColor indexed="64"/>
      </patternFill>
    </fill>
    <fill>
      <patternFill patternType="solid">
        <fgColor rgb="FFFFFFFF"/>
        <bgColor rgb="FF000000"/>
      </patternFill>
    </fill>
    <fill>
      <patternFill patternType="solid">
        <fgColor rgb="FF233F2B"/>
        <bgColor indexed="64"/>
      </patternFill>
    </fill>
    <fill>
      <patternFill patternType="solid">
        <fgColor rgb="FF7E9084"/>
        <bgColor indexed="64"/>
      </patternFill>
    </fill>
    <fill>
      <patternFill patternType="solid">
        <fgColor rgb="FFD9E1DD"/>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DEDEDE"/>
      </left>
      <right style="medium">
        <color rgb="FFDEDEDE"/>
      </right>
      <top style="medium">
        <color rgb="FFDEDEDE"/>
      </top>
      <bottom style="medium">
        <color rgb="FFDEDEDE"/>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right style="thick">
        <color theme="6"/>
      </right>
      <top/>
      <bottom/>
      <diagonal/>
    </border>
    <border>
      <left style="thick">
        <color theme="6"/>
      </left>
      <right/>
      <top style="thick">
        <color theme="6"/>
      </top>
      <bottom/>
      <diagonal/>
    </border>
    <border>
      <left/>
      <right/>
      <top style="thick">
        <color theme="6"/>
      </top>
      <bottom/>
      <diagonal/>
    </border>
    <border>
      <left style="thick">
        <color theme="6"/>
      </left>
      <right/>
      <top/>
      <bottom/>
      <diagonal/>
    </border>
    <border>
      <left style="thick">
        <color theme="6"/>
      </left>
      <right/>
      <top/>
      <bottom style="thick">
        <color theme="6"/>
      </bottom>
      <diagonal/>
    </border>
    <border>
      <left/>
      <right/>
      <top/>
      <bottom style="thick">
        <color theme="6"/>
      </bottom>
      <diagonal/>
    </border>
    <border>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rgb="FF000000"/>
      </top>
      <bottom/>
      <diagonal/>
    </border>
    <border>
      <left/>
      <right style="thin">
        <color rgb="FF000000"/>
      </right>
      <top style="thin">
        <color rgb="FF000000"/>
      </top>
      <bottom/>
      <diagonal/>
    </border>
    <border>
      <left style="medium">
        <color indexed="64"/>
      </left>
      <right style="thin">
        <color rgb="FF000000"/>
      </right>
      <top/>
      <bottom style="thin">
        <color rgb="FF00000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ck">
        <color rgb="FF233F2B"/>
      </left>
      <right style="thick">
        <color rgb="FF233F2B"/>
      </right>
      <top style="thick">
        <color rgb="FF233F2B"/>
      </top>
      <bottom style="thick">
        <color rgb="FF233F2B"/>
      </bottom>
      <diagonal/>
    </border>
    <border>
      <left style="thick">
        <color rgb="FF233F2B"/>
      </left>
      <right style="thick">
        <color rgb="FF233F2B"/>
      </right>
      <top style="thick">
        <color theme="6"/>
      </top>
      <bottom style="thick">
        <color rgb="FF233F2B"/>
      </bottom>
      <diagonal/>
    </border>
    <border>
      <left/>
      <right style="thick">
        <color rgb="FF233F2B"/>
      </right>
      <top/>
      <bottom style="thick">
        <color rgb="FF233F2B"/>
      </bottom>
      <diagonal/>
    </border>
    <border>
      <left style="thick">
        <color rgb="FF233F2B"/>
      </left>
      <right style="thick">
        <color rgb="FF233F2B"/>
      </right>
      <top/>
      <bottom style="thick">
        <color rgb="FF233F2B"/>
      </bottom>
      <diagonal/>
    </border>
    <border>
      <left/>
      <right style="thick">
        <color rgb="FF233F2B"/>
      </right>
      <top style="thick">
        <color theme="6"/>
      </top>
      <bottom style="thick">
        <color rgb="FF233F2B"/>
      </bottom>
      <diagonal/>
    </border>
    <border>
      <left/>
      <right style="thick">
        <color rgb="FF233F2B"/>
      </right>
      <top/>
      <bottom/>
      <diagonal/>
    </border>
    <border>
      <left style="thick">
        <color rgb="FF233F2B"/>
      </left>
      <right style="thick">
        <color rgb="FF233F2B"/>
      </right>
      <top/>
      <bottom/>
      <diagonal/>
    </border>
    <border>
      <left style="medium">
        <color indexed="64"/>
      </left>
      <right/>
      <top/>
      <bottom style="thin">
        <color indexed="64"/>
      </bottom>
      <diagonal/>
    </border>
    <border>
      <left style="thick">
        <color rgb="FF233F2B"/>
      </left>
      <right/>
      <top style="thick">
        <color rgb="FF233F2B"/>
      </top>
      <bottom style="thick">
        <color rgb="FF233F2B"/>
      </bottom>
      <diagonal/>
    </border>
    <border>
      <left/>
      <right/>
      <top/>
      <bottom style="thin">
        <color rgb="FF233F2B"/>
      </bottom>
      <diagonal/>
    </border>
    <border>
      <left/>
      <right style="thin">
        <color rgb="FF233F2B"/>
      </right>
      <top/>
      <bottom/>
      <diagonal/>
    </border>
    <border>
      <left/>
      <right style="thin">
        <color rgb="FF233F2B"/>
      </right>
      <top/>
      <bottom style="thin">
        <color rgb="FF233F2B"/>
      </bottom>
      <diagonal/>
    </border>
    <border>
      <left style="thin">
        <color rgb="FF233F2B"/>
      </left>
      <right style="thin">
        <color rgb="FF233F2B"/>
      </right>
      <top style="thin">
        <color rgb="FF233F2B"/>
      </top>
      <bottom/>
      <diagonal/>
    </border>
    <border>
      <left style="thin">
        <color rgb="FF233F2B"/>
      </left>
      <right style="thin">
        <color rgb="FF233F2B"/>
      </right>
      <top/>
      <bottom style="thin">
        <color rgb="FF233F2B"/>
      </bottom>
      <diagonal/>
    </border>
    <border>
      <left style="thin">
        <color rgb="FF233F2B"/>
      </left>
      <right style="thin">
        <color rgb="FF233F2B"/>
      </right>
      <top style="thin">
        <color rgb="FF233F2B"/>
      </top>
      <bottom style="thin">
        <color rgb="FF233F2B"/>
      </bottom>
      <diagonal/>
    </border>
    <border>
      <left style="medium">
        <color indexed="64"/>
      </left>
      <right style="thin">
        <color indexed="64"/>
      </right>
      <top/>
      <bottom/>
      <diagonal/>
    </border>
  </borders>
  <cellStyleXfs count="3">
    <xf numFmtId="0" fontId="0" fillId="0" borderId="0"/>
    <xf numFmtId="0" fontId="11" fillId="0" borderId="0" applyNumberFormat="0" applyFill="0" applyBorder="0" applyAlignment="0" applyProtection="0"/>
    <xf numFmtId="43" fontId="12" fillId="0" borderId="0" applyFont="0" applyFill="0" applyBorder="0" applyAlignment="0" applyProtection="0"/>
  </cellStyleXfs>
  <cellXfs count="489">
    <xf numFmtId="0" fontId="0" fillId="0" borderId="0" xfId="0"/>
    <xf numFmtId="0" fontId="0" fillId="0" borderId="3" xfId="0" applyBorder="1"/>
    <xf numFmtId="0" fontId="0" fillId="0" borderId="4" xfId="0" applyBorder="1"/>
    <xf numFmtId="0" fontId="0" fillId="0" borderId="5" xfId="0" applyBorder="1"/>
    <xf numFmtId="0" fontId="0" fillId="0" borderId="0" xfId="0" applyAlignment="1">
      <alignment wrapText="1"/>
    </xf>
    <xf numFmtId="0" fontId="0" fillId="0" borderId="0" xfId="0" applyBorder="1"/>
    <xf numFmtId="0" fontId="0" fillId="0" borderId="1" xfId="0" applyBorder="1" applyProtection="1"/>
    <xf numFmtId="0" fontId="0" fillId="0" borderId="7" xfId="0" applyBorder="1" applyProtection="1"/>
    <xf numFmtId="0" fontId="0" fillId="0" borderId="1" xfId="0" applyBorder="1" applyProtection="1">
      <protection locked="0"/>
    </xf>
    <xf numFmtId="43" fontId="0" fillId="0" borderId="0" xfId="0" applyNumberFormat="1"/>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Border="1" applyProtection="1"/>
    <xf numFmtId="0" fontId="0" fillId="2" borderId="0" xfId="0" applyFill="1" applyBorder="1" applyProtection="1"/>
    <xf numFmtId="0" fontId="0" fillId="0" borderId="19" xfId="0" applyBorder="1"/>
    <xf numFmtId="43" fontId="0" fillId="2" borderId="20" xfId="0" applyNumberFormat="1" applyFill="1" applyBorder="1" applyProtection="1"/>
    <xf numFmtId="0" fontId="0" fillId="0" borderId="6" xfId="0" applyBorder="1" applyProtection="1">
      <protection locked="0"/>
    </xf>
    <xf numFmtId="43" fontId="0" fillId="0" borderId="7" xfId="0" applyNumberFormat="1" applyBorder="1" applyProtection="1"/>
    <xf numFmtId="0" fontId="0" fillId="0" borderId="34" xfId="0" applyBorder="1"/>
    <xf numFmtId="0" fontId="0" fillId="0" borderId="0" xfId="0" applyBorder="1" applyAlignment="1">
      <alignment wrapText="1"/>
    </xf>
    <xf numFmtId="0" fontId="0" fillId="0" borderId="34" xfId="0" applyBorder="1" applyAlignment="1">
      <alignment wrapText="1"/>
    </xf>
    <xf numFmtId="0" fontId="0" fillId="2" borderId="0" xfId="0" applyFill="1" applyBorder="1"/>
    <xf numFmtId="0" fontId="0" fillId="0" borderId="0" xfId="0" applyAlignment="1">
      <alignment horizontal="left"/>
    </xf>
    <xf numFmtId="0" fontId="0" fillId="0" borderId="3" xfId="0" applyFill="1" applyBorder="1"/>
    <xf numFmtId="0" fontId="0" fillId="0" borderId="0" xfId="0" applyFill="1" applyBorder="1"/>
    <xf numFmtId="0" fontId="0" fillId="0" borderId="34" xfId="0" applyFill="1" applyBorder="1"/>
    <xf numFmtId="0" fontId="4" fillId="0" borderId="0" xfId="0" applyFont="1" applyFill="1" applyBorder="1"/>
    <xf numFmtId="0" fontId="5" fillId="0" borderId="0" xfId="0" applyFont="1" applyFill="1" applyBorder="1" applyAlignment="1">
      <alignment horizontal="left" wrapText="1"/>
    </xf>
    <xf numFmtId="0" fontId="5" fillId="3" borderId="3" xfId="0" applyFont="1" applyFill="1" applyBorder="1" applyAlignment="1">
      <alignment horizontal="left" wrapText="1"/>
    </xf>
    <xf numFmtId="0" fontId="5" fillId="3" borderId="0" xfId="0" applyFont="1" applyFill="1" applyBorder="1" applyAlignment="1">
      <alignment horizontal="left" wrapText="1"/>
    </xf>
    <xf numFmtId="0" fontId="0" fillId="0" borderId="35" xfId="0" applyBorder="1"/>
    <xf numFmtId="0" fontId="1" fillId="0" borderId="0" xfId="0" applyFont="1" applyBorder="1" applyAlignment="1"/>
    <xf numFmtId="0" fontId="5" fillId="0" borderId="0" xfId="0" applyFont="1" applyFill="1" applyBorder="1" applyAlignment="1">
      <alignment wrapText="1"/>
    </xf>
    <xf numFmtId="0" fontId="0" fillId="0" borderId="0" xfId="0" applyFill="1" applyBorder="1" applyAlignment="1">
      <alignment wrapText="1"/>
    </xf>
    <xf numFmtId="0" fontId="3" fillId="0" borderId="0" xfId="0" applyFont="1" applyFill="1" applyBorder="1" applyAlignment="1"/>
    <xf numFmtId="0" fontId="0" fillId="0" borderId="0" xfId="0" applyBorder="1" applyAlignment="1"/>
    <xf numFmtId="0" fontId="7" fillId="3" borderId="0" xfId="0" applyFont="1" applyFill="1" applyBorder="1" applyAlignment="1">
      <alignment horizontal="center"/>
    </xf>
    <xf numFmtId="0" fontId="0" fillId="0" borderId="3" xfId="0" applyFill="1" applyBorder="1" applyAlignment="1">
      <alignment horizontal="left" wrapText="1"/>
    </xf>
    <xf numFmtId="0" fontId="0" fillId="0" borderId="0" xfId="0" applyFill="1" applyBorder="1" applyAlignment="1">
      <alignment horizontal="left" wrapText="1"/>
    </xf>
    <xf numFmtId="0" fontId="0" fillId="0" borderId="34" xfId="0" applyFill="1" applyBorder="1" applyAlignment="1">
      <alignment horizontal="left" wrapText="1"/>
    </xf>
    <xf numFmtId="0" fontId="4" fillId="0" borderId="3" xfId="0" applyFont="1" applyFill="1" applyBorder="1"/>
    <xf numFmtId="0" fontId="0" fillId="0" borderId="34" xfId="0" applyBorder="1" applyAlignment="1"/>
    <xf numFmtId="0" fontId="0" fillId="0" borderId="3" xfId="0" applyBorder="1" applyAlignment="1"/>
    <xf numFmtId="0" fontId="3" fillId="0" borderId="3" xfId="0" applyFont="1" applyBorder="1"/>
    <xf numFmtId="0" fontId="0" fillId="0" borderId="4" xfId="0" applyBorder="1" applyAlignment="1"/>
    <xf numFmtId="0" fontId="0" fillId="0" borderId="35" xfId="0" applyBorder="1" applyAlignment="1"/>
    <xf numFmtId="0" fontId="11" fillId="0" borderId="0" xfId="1" applyAlignment="1">
      <alignment wrapText="1"/>
    </xf>
    <xf numFmtId="0" fontId="16" fillId="0" borderId="0" xfId="0" applyFont="1" applyFill="1" applyAlignment="1">
      <alignment horizontal="center"/>
    </xf>
    <xf numFmtId="0" fontId="0" fillId="0" borderId="0" xfId="0" applyFill="1"/>
    <xf numFmtId="0" fontId="0" fillId="0" borderId="12" xfId="0" applyFill="1" applyBorder="1"/>
    <xf numFmtId="0" fontId="0" fillId="0" borderId="1" xfId="0" applyFill="1" applyBorder="1" applyProtection="1">
      <protection locked="0"/>
    </xf>
    <xf numFmtId="0" fontId="0" fillId="0" borderId="7" xfId="0" applyFill="1" applyBorder="1"/>
    <xf numFmtId="0" fontId="0" fillId="0" borderId="1" xfId="0" applyFill="1" applyBorder="1"/>
    <xf numFmtId="0" fontId="0" fillId="0" borderId="8" xfId="0" applyFill="1" applyBorder="1"/>
    <xf numFmtId="0" fontId="0" fillId="0" borderId="2" xfId="0" applyFill="1" applyBorder="1"/>
    <xf numFmtId="0" fontId="0" fillId="0" borderId="7" xfId="0" applyNumberFormat="1" applyFill="1" applyBorder="1"/>
    <xf numFmtId="0" fontId="0" fillId="0" borderId="2" xfId="0" applyNumberFormat="1" applyFill="1" applyBorder="1"/>
    <xf numFmtId="0" fontId="0" fillId="0" borderId="6" xfId="0" applyFill="1" applyBorder="1"/>
    <xf numFmtId="0" fontId="0" fillId="0" borderId="12" xfId="0" applyFill="1" applyBorder="1" applyProtection="1">
      <protection locked="0"/>
    </xf>
    <xf numFmtId="0" fontId="0" fillId="0" borderId="55" xfId="0" applyFill="1" applyBorder="1" applyProtection="1">
      <protection locked="0"/>
    </xf>
    <xf numFmtId="0" fontId="0" fillId="0" borderId="59" xfId="0" applyBorder="1"/>
    <xf numFmtId="0" fontId="18" fillId="0" borderId="0" xfId="0" applyFont="1"/>
    <xf numFmtId="0" fontId="17" fillId="0" borderId="0" xfId="0" applyFont="1" applyFill="1" applyAlignment="1"/>
    <xf numFmtId="0" fontId="21" fillId="0" borderId="0" xfId="0" applyFont="1" applyFill="1" applyBorder="1" applyAlignment="1">
      <alignment vertical="center"/>
    </xf>
    <xf numFmtId="0" fontId="0" fillId="0" borderId="0" xfId="0" applyAlignment="1">
      <alignment horizontal="center"/>
    </xf>
    <xf numFmtId="0" fontId="11" fillId="0" borderId="0" xfId="1" applyFill="1" applyBorder="1" applyAlignment="1"/>
    <xf numFmtId="0" fontId="20" fillId="0" borderId="0" xfId="0" applyFont="1" applyFill="1" applyBorder="1" applyAlignment="1"/>
    <xf numFmtId="0" fontId="14" fillId="0" borderId="0" xfId="1" applyFont="1" applyFill="1"/>
    <xf numFmtId="0" fontId="0" fillId="0" borderId="70" xfId="0" applyFill="1" applyBorder="1"/>
    <xf numFmtId="0" fontId="0" fillId="0" borderId="0" xfId="0" applyFill="1" applyBorder="1" applyAlignment="1">
      <alignment horizontal="left"/>
    </xf>
    <xf numFmtId="0" fontId="0" fillId="0" borderId="5" xfId="0" applyBorder="1" applyAlignment="1">
      <alignment wrapText="1"/>
    </xf>
    <xf numFmtId="0" fontId="0" fillId="0" borderId="53" xfId="0" applyFill="1" applyBorder="1" applyProtection="1">
      <protection locked="0"/>
    </xf>
    <xf numFmtId="0" fontId="0" fillId="0" borderId="46" xfId="0" applyFill="1" applyBorder="1" applyProtection="1">
      <protection locked="0"/>
    </xf>
    <xf numFmtId="0" fontId="0" fillId="0" borderId="50" xfId="0" applyFill="1" applyBorder="1" applyProtection="1">
      <protection locked="0"/>
    </xf>
    <xf numFmtId="0" fontId="0" fillId="0" borderId="44" xfId="0" applyFill="1" applyBorder="1" applyProtection="1">
      <protection locked="0"/>
    </xf>
    <xf numFmtId="0" fontId="0" fillId="0" borderId="12" xfId="0" applyBorder="1" applyProtection="1">
      <protection locked="0"/>
    </xf>
    <xf numFmtId="0" fontId="0" fillId="0" borderId="0" xfId="0" applyBorder="1" applyAlignment="1">
      <alignment horizontal="right"/>
    </xf>
    <xf numFmtId="0" fontId="0" fillId="0" borderId="30" xfId="0" applyBorder="1"/>
    <xf numFmtId="0" fontId="0" fillId="0" borderId="70" xfId="0" applyBorder="1" applyProtection="1">
      <protection locked="0"/>
    </xf>
    <xf numFmtId="0" fontId="0" fillId="0" borderId="71" xfId="0" applyBorder="1" applyProtection="1">
      <protection locked="0"/>
    </xf>
    <xf numFmtId="0" fontId="0" fillId="0" borderId="56" xfId="0" applyBorder="1" applyProtection="1">
      <protection locked="0"/>
    </xf>
    <xf numFmtId="0" fontId="0" fillId="0" borderId="6" xfId="0" applyBorder="1"/>
    <xf numFmtId="0" fontId="0" fillId="2" borderId="65" xfId="0" applyFill="1" applyBorder="1"/>
    <xf numFmtId="0" fontId="0" fillId="0" borderId="65" xfId="0" applyFill="1" applyBorder="1"/>
    <xf numFmtId="0" fontId="0" fillId="2" borderId="33" xfId="0" applyFill="1" applyBorder="1"/>
    <xf numFmtId="0" fontId="0" fillId="0" borderId="0" xfId="0" applyFill="1" applyAlignment="1">
      <alignment vertical="center"/>
    </xf>
    <xf numFmtId="0" fontId="4" fillId="6" borderId="32" xfId="0" applyFont="1" applyFill="1" applyBorder="1" applyAlignment="1">
      <alignment horizontal="center"/>
    </xf>
    <xf numFmtId="0" fontId="4" fillId="6" borderId="33" xfId="0" applyFont="1" applyFill="1" applyBorder="1" applyAlignment="1">
      <alignment horizontal="center" wrapText="1"/>
    </xf>
    <xf numFmtId="0" fontId="4" fillId="6" borderId="31" xfId="0" applyFont="1" applyFill="1" applyBorder="1" applyAlignment="1">
      <alignment horizontal="center" wrapText="1"/>
    </xf>
    <xf numFmtId="43" fontId="4" fillId="6" borderId="67" xfId="0" applyNumberFormat="1" applyFont="1" applyFill="1" applyBorder="1" applyAlignment="1">
      <alignment horizontal="center"/>
    </xf>
    <xf numFmtId="0" fontId="3" fillId="8" borderId="27" xfId="0" applyFont="1" applyFill="1" applyBorder="1"/>
    <xf numFmtId="0" fontId="2" fillId="8" borderId="17" xfId="0" applyFont="1" applyFill="1" applyBorder="1"/>
    <xf numFmtId="0" fontId="0" fillId="8" borderId="17" xfId="0" applyFill="1" applyBorder="1"/>
    <xf numFmtId="0" fontId="0" fillId="8" borderId="28" xfId="0" applyFill="1" applyBorder="1"/>
    <xf numFmtId="0" fontId="0" fillId="8" borderId="0" xfId="0" applyFill="1" applyBorder="1"/>
    <xf numFmtId="0" fontId="1" fillId="8" borderId="17" xfId="0" applyFont="1" applyFill="1" applyBorder="1"/>
    <xf numFmtId="0" fontId="0" fillId="8" borderId="68" xfId="0" applyFill="1" applyBorder="1"/>
    <xf numFmtId="0" fontId="0" fillId="8" borderId="6" xfId="0" applyFill="1" applyBorder="1" applyProtection="1">
      <protection locked="0"/>
    </xf>
    <xf numFmtId="3" fontId="0" fillId="8" borderId="1" xfId="0" applyNumberFormat="1" applyFill="1" applyBorder="1" applyProtection="1">
      <protection locked="0"/>
    </xf>
    <xf numFmtId="0" fontId="0" fillId="8" borderId="1" xfId="0" applyFill="1" applyBorder="1" applyProtection="1"/>
    <xf numFmtId="0" fontId="0" fillId="8" borderId="1" xfId="0" applyFill="1" applyBorder="1" applyProtection="1">
      <protection locked="0"/>
    </xf>
    <xf numFmtId="0" fontId="0" fillId="8" borderId="7" xfId="0" applyFill="1" applyBorder="1" applyProtection="1"/>
    <xf numFmtId="43" fontId="0" fillId="8" borderId="13" xfId="0" applyNumberFormat="1" applyFill="1" applyBorder="1" applyProtection="1"/>
    <xf numFmtId="43" fontId="0" fillId="8" borderId="7" xfId="0" applyNumberFormat="1" applyFill="1" applyBorder="1" applyProtection="1"/>
    <xf numFmtId="0" fontId="0" fillId="8" borderId="30" xfId="0" applyFill="1" applyBorder="1" applyProtection="1">
      <protection locked="0"/>
    </xf>
    <xf numFmtId="0" fontId="0" fillId="8" borderId="8" xfId="0" applyFill="1" applyBorder="1" applyProtection="1">
      <protection locked="0"/>
    </xf>
    <xf numFmtId="0" fontId="0" fillId="8" borderId="8" xfId="0" applyFill="1" applyBorder="1" applyProtection="1"/>
    <xf numFmtId="0" fontId="0" fillId="8" borderId="2" xfId="0" applyFill="1" applyBorder="1" applyProtection="1"/>
    <xf numFmtId="43" fontId="0" fillId="8" borderId="2" xfId="0" applyNumberFormat="1" applyFill="1" applyBorder="1" applyProtection="1"/>
    <xf numFmtId="0" fontId="0" fillId="3" borderId="19" xfId="0" applyFill="1" applyBorder="1"/>
    <xf numFmtId="0" fontId="2" fillId="3" borderId="0" xfId="0" applyFont="1" applyFill="1" applyBorder="1"/>
    <xf numFmtId="0" fontId="2" fillId="3" borderId="0" xfId="0" applyFont="1" applyFill="1" applyBorder="1" applyAlignment="1"/>
    <xf numFmtId="0" fontId="2" fillId="3" borderId="20" xfId="0" applyFont="1" applyFill="1" applyBorder="1" applyAlignment="1"/>
    <xf numFmtId="0" fontId="0" fillId="3" borderId="0" xfId="0" applyFill="1" applyBorder="1"/>
    <xf numFmtId="0" fontId="0" fillId="3" borderId="68" xfId="0" applyFill="1" applyBorder="1"/>
    <xf numFmtId="0" fontId="3" fillId="8" borderId="2" xfId="0" applyFont="1" applyFill="1" applyBorder="1"/>
    <xf numFmtId="0" fontId="0" fillId="8" borderId="36" xfId="0" applyFill="1" applyBorder="1"/>
    <xf numFmtId="0" fontId="0" fillId="8" borderId="30" xfId="0" applyFill="1" applyBorder="1"/>
    <xf numFmtId="0" fontId="5" fillId="8" borderId="36" xfId="0" applyFont="1" applyFill="1" applyBorder="1" applyAlignment="1">
      <alignment horizontal="left" wrapText="1"/>
    </xf>
    <xf numFmtId="0" fontId="10" fillId="6" borderId="3" xfId="0" applyFont="1" applyFill="1" applyBorder="1"/>
    <xf numFmtId="0" fontId="4" fillId="6" borderId="33" xfId="0" applyFont="1" applyFill="1" applyBorder="1" applyAlignment="1">
      <alignment wrapText="1"/>
    </xf>
    <xf numFmtId="0" fontId="4" fillId="6" borderId="31" xfId="0" applyFont="1" applyFill="1" applyBorder="1" applyAlignment="1">
      <alignment wrapText="1"/>
    </xf>
    <xf numFmtId="0" fontId="4" fillId="6" borderId="9" xfId="0" applyFont="1" applyFill="1" applyBorder="1"/>
    <xf numFmtId="0" fontId="4" fillId="6" borderId="12" xfId="0" applyFont="1" applyFill="1" applyBorder="1"/>
    <xf numFmtId="0" fontId="4" fillId="6" borderId="14" xfId="0" applyFont="1" applyFill="1" applyBorder="1"/>
    <xf numFmtId="0" fontId="0" fillId="8" borderId="12" xfId="0" applyFill="1" applyBorder="1"/>
    <xf numFmtId="0" fontId="0" fillId="8" borderId="7" xfId="0" applyFill="1" applyBorder="1"/>
    <xf numFmtId="0" fontId="0" fillId="8" borderId="55" xfId="0" applyFill="1" applyBorder="1"/>
    <xf numFmtId="0" fontId="0" fillId="8" borderId="2" xfId="0" applyFill="1" applyBorder="1"/>
    <xf numFmtId="0" fontId="0" fillId="8" borderId="11" xfId="0" applyFill="1" applyBorder="1"/>
    <xf numFmtId="0" fontId="0" fillId="8" borderId="13" xfId="0" applyFill="1" applyBorder="1"/>
    <xf numFmtId="0" fontId="0" fillId="8" borderId="16" xfId="0" applyFill="1" applyBorder="1"/>
    <xf numFmtId="0" fontId="11" fillId="3" borderId="19" xfId="1" applyFill="1" applyBorder="1"/>
    <xf numFmtId="0" fontId="11" fillId="3" borderId="3" xfId="1" applyFill="1" applyBorder="1" applyAlignment="1">
      <alignment horizontal="left" vertical="center"/>
    </xf>
    <xf numFmtId="0" fontId="0" fillId="6" borderId="39" xfId="0" applyFill="1" applyBorder="1"/>
    <xf numFmtId="0" fontId="0" fillId="6" borderId="40" xfId="0" applyFill="1" applyBorder="1"/>
    <xf numFmtId="0" fontId="4" fillId="6" borderId="57" xfId="0" applyFont="1" applyFill="1" applyBorder="1"/>
    <xf numFmtId="0" fontId="4" fillId="6" borderId="52" xfId="0" applyFont="1" applyFill="1" applyBorder="1" applyAlignment="1">
      <alignment wrapText="1"/>
    </xf>
    <xf numFmtId="0" fontId="4" fillId="6" borderId="48" xfId="0" applyFont="1" applyFill="1" applyBorder="1" applyAlignment="1">
      <alignment horizontal="center"/>
    </xf>
    <xf numFmtId="0" fontId="4" fillId="7" borderId="58" xfId="0" applyFont="1" applyFill="1" applyBorder="1"/>
    <xf numFmtId="0" fontId="14" fillId="8" borderId="57" xfId="0" applyFont="1" applyFill="1" applyBorder="1"/>
    <xf numFmtId="0" fontId="14" fillId="8" borderId="47" xfId="0" applyFont="1" applyFill="1" applyBorder="1"/>
    <xf numFmtId="0" fontId="14" fillId="8" borderId="8" xfId="0" applyFont="1" applyFill="1" applyBorder="1"/>
    <xf numFmtId="0" fontId="14" fillId="8" borderId="51" xfId="0" applyFont="1" applyFill="1" applyBorder="1"/>
    <xf numFmtId="0" fontId="14" fillId="8" borderId="33" xfId="0" applyFont="1" applyFill="1" applyBorder="1"/>
    <xf numFmtId="0" fontId="14" fillId="8" borderId="50" xfId="0" applyFont="1" applyFill="1" applyBorder="1"/>
    <xf numFmtId="0" fontId="14" fillId="8" borderId="0" xfId="0" applyFont="1" applyFill="1" applyBorder="1"/>
    <xf numFmtId="0" fontId="14" fillId="8" borderId="1" xfId="0" applyFont="1" applyFill="1" applyBorder="1"/>
    <xf numFmtId="0" fontId="4" fillId="6" borderId="10" xfId="0" applyFont="1" applyFill="1" applyBorder="1" applyAlignment="1">
      <alignment wrapText="1"/>
    </xf>
    <xf numFmtId="0" fontId="4" fillId="6" borderId="10" xfId="0" applyFont="1" applyFill="1" applyBorder="1" applyAlignment="1">
      <alignment horizontal="center" wrapText="1"/>
    </xf>
    <xf numFmtId="0" fontId="4" fillId="6" borderId="11" xfId="0" applyFont="1" applyFill="1" applyBorder="1" applyAlignment="1">
      <alignment wrapText="1"/>
    </xf>
    <xf numFmtId="0" fontId="4" fillId="6" borderId="40" xfId="0" applyFont="1" applyFill="1" applyBorder="1" applyAlignment="1"/>
    <xf numFmtId="0" fontId="3" fillId="8" borderId="65" xfId="0" applyFont="1" applyFill="1" applyBorder="1" applyAlignment="1"/>
    <xf numFmtId="0" fontId="0" fillId="8" borderId="65" xfId="0" applyFill="1" applyBorder="1" applyAlignment="1"/>
    <xf numFmtId="0" fontId="0" fillId="8" borderId="32" xfId="0" applyFill="1" applyBorder="1" applyAlignment="1"/>
    <xf numFmtId="0" fontId="3" fillId="8" borderId="66" xfId="0" applyFont="1" applyFill="1" applyBorder="1"/>
    <xf numFmtId="0" fontId="14" fillId="8" borderId="12" xfId="0" applyFont="1" applyFill="1" applyBorder="1"/>
    <xf numFmtId="0" fontId="14" fillId="8" borderId="14" xfId="0" applyFont="1" applyFill="1" applyBorder="1"/>
    <xf numFmtId="43" fontId="0" fillId="8" borderId="1" xfId="2" applyFont="1" applyFill="1" applyBorder="1" applyProtection="1">
      <protection locked="0"/>
    </xf>
    <xf numFmtId="43" fontId="0" fillId="8" borderId="15" xfId="2" applyFont="1" applyFill="1" applyBorder="1" applyProtection="1">
      <protection locked="0"/>
    </xf>
    <xf numFmtId="0" fontId="0" fillId="8" borderId="12" xfId="0" applyFill="1" applyBorder="1" applyAlignment="1">
      <alignment wrapText="1"/>
    </xf>
    <xf numFmtId="164" fontId="0" fillId="8" borderId="1" xfId="0" applyNumberFormat="1" applyFill="1" applyBorder="1" applyAlignment="1">
      <alignment horizontal="center" vertical="center"/>
    </xf>
    <xf numFmtId="0" fontId="0" fillId="8" borderId="56" xfId="0" applyFill="1" applyBorder="1" applyAlignment="1">
      <alignment wrapText="1"/>
    </xf>
    <xf numFmtId="167" fontId="3" fillId="8" borderId="1" xfId="2" applyNumberFormat="1" applyFont="1" applyFill="1" applyBorder="1" applyAlignment="1">
      <alignment horizontal="center" vertical="center"/>
    </xf>
    <xf numFmtId="166" fontId="0" fillId="7" borderId="1" xfId="0" applyNumberFormat="1" applyFill="1" applyBorder="1"/>
    <xf numFmtId="166" fontId="0" fillId="7" borderId="15" xfId="0" applyNumberFormat="1" applyFill="1" applyBorder="1"/>
    <xf numFmtId="165" fontId="0" fillId="7" borderId="1" xfId="0" applyNumberFormat="1" applyFill="1" applyBorder="1"/>
    <xf numFmtId="0" fontId="0" fillId="7" borderId="1" xfId="0" applyFill="1" applyBorder="1"/>
    <xf numFmtId="0" fontId="0" fillId="7" borderId="15" xfId="0" applyFill="1" applyBorder="1"/>
    <xf numFmtId="166" fontId="0" fillId="7" borderId="13" xfId="0" applyNumberFormat="1" applyFill="1" applyBorder="1"/>
    <xf numFmtId="166" fontId="0" fillId="7" borderId="16" xfId="0" applyNumberFormat="1" applyFill="1" applyBorder="1"/>
    <xf numFmtId="0" fontId="3" fillId="8" borderId="36" xfId="0" applyFont="1" applyFill="1" applyBorder="1" applyAlignment="1"/>
    <xf numFmtId="0" fontId="3" fillId="8" borderId="41" xfId="0" applyFont="1" applyFill="1" applyBorder="1" applyAlignment="1"/>
    <xf numFmtId="0" fontId="5" fillId="8" borderId="37" xfId="0" applyFont="1" applyFill="1" applyBorder="1" applyAlignment="1">
      <alignment wrapText="1"/>
    </xf>
    <xf numFmtId="0" fontId="5" fillId="8" borderId="42" xfId="0" applyFont="1" applyFill="1" applyBorder="1" applyAlignment="1">
      <alignment wrapText="1"/>
    </xf>
    <xf numFmtId="0" fontId="0" fillId="8" borderId="37" xfId="0" applyFill="1" applyBorder="1" applyAlignment="1">
      <alignment wrapText="1"/>
    </xf>
    <xf numFmtId="0" fontId="0" fillId="8" borderId="32" xfId="0" applyFill="1" applyBorder="1" applyAlignment="1">
      <alignment wrapText="1"/>
    </xf>
    <xf numFmtId="0" fontId="0" fillId="8" borderId="65" xfId="0" applyFill="1" applyBorder="1"/>
    <xf numFmtId="0" fontId="4" fillId="6" borderId="3" xfId="0" applyFont="1" applyFill="1" applyBorder="1"/>
    <xf numFmtId="0" fontId="11" fillId="0" borderId="3" xfId="1" applyFill="1" applyBorder="1"/>
    <xf numFmtId="0" fontId="4" fillId="6" borderId="54" xfId="0" applyFont="1" applyFill="1" applyBorder="1"/>
    <xf numFmtId="0" fontId="4" fillId="6" borderId="33" xfId="0" applyFont="1" applyFill="1" applyBorder="1"/>
    <xf numFmtId="0" fontId="4" fillId="6" borderId="31" xfId="0" applyFont="1" applyFill="1" applyBorder="1"/>
    <xf numFmtId="0" fontId="0" fillId="8" borderId="12" xfId="0" applyFill="1" applyBorder="1" applyProtection="1">
      <protection locked="0"/>
    </xf>
    <xf numFmtId="0" fontId="0" fillId="8" borderId="1" xfId="0" applyFill="1" applyBorder="1"/>
    <xf numFmtId="0" fontId="11" fillId="0" borderId="0" xfId="1"/>
    <xf numFmtId="0" fontId="0" fillId="8" borderId="55" xfId="0" applyFill="1" applyBorder="1" applyProtection="1">
      <protection locked="0"/>
    </xf>
    <xf numFmtId="0" fontId="0" fillId="8" borderId="8" xfId="0" applyFill="1" applyBorder="1"/>
    <xf numFmtId="0" fontId="4" fillId="6" borderId="51" xfId="0" applyFont="1" applyFill="1" applyBorder="1"/>
    <xf numFmtId="0" fontId="0" fillId="8" borderId="56" xfId="0" applyFill="1" applyBorder="1" applyProtection="1">
      <protection locked="0"/>
    </xf>
    <xf numFmtId="0" fontId="0" fillId="8" borderId="69" xfId="0" applyFill="1" applyBorder="1" applyProtection="1">
      <protection locked="0"/>
    </xf>
    <xf numFmtId="0" fontId="0" fillId="8" borderId="6" xfId="0" applyFill="1" applyBorder="1"/>
    <xf numFmtId="0" fontId="0" fillId="8" borderId="31" xfId="0" applyNumberFormat="1" applyFill="1" applyBorder="1"/>
    <xf numFmtId="0" fontId="0" fillId="8" borderId="70" xfId="0" applyFill="1" applyBorder="1" applyProtection="1">
      <protection locked="0"/>
    </xf>
    <xf numFmtId="0" fontId="0" fillId="8" borderId="7" xfId="0" applyNumberFormat="1" applyFill="1" applyBorder="1"/>
    <xf numFmtId="0" fontId="4" fillId="7" borderId="3" xfId="0" applyFont="1" applyFill="1" applyBorder="1"/>
    <xf numFmtId="0" fontId="4" fillId="7" borderId="0" xfId="0" applyFont="1" applyFill="1" applyBorder="1"/>
    <xf numFmtId="0" fontId="8" fillId="6" borderId="1" xfId="0" applyFont="1" applyFill="1" applyBorder="1" applyAlignment="1">
      <alignment wrapText="1"/>
    </xf>
    <xf numFmtId="0" fontId="4" fillId="7" borderId="1" xfId="0" applyFont="1" applyFill="1" applyBorder="1"/>
    <xf numFmtId="0" fontId="4" fillId="7" borderId="69" xfId="0" applyFont="1" applyFill="1" applyBorder="1"/>
    <xf numFmtId="0" fontId="4" fillId="7" borderId="32" xfId="0" applyFont="1" applyFill="1" applyBorder="1"/>
    <xf numFmtId="0" fontId="4" fillId="7" borderId="33" xfId="0" applyFont="1" applyFill="1" applyBorder="1"/>
    <xf numFmtId="0" fontId="4" fillId="7" borderId="6" xfId="0" applyFont="1" applyFill="1" applyBorder="1"/>
    <xf numFmtId="0" fontId="4" fillId="7" borderId="70" xfId="0" applyFont="1" applyFill="1" applyBorder="1"/>
    <xf numFmtId="0" fontId="0" fillId="8" borderId="70" xfId="0" applyFill="1" applyBorder="1"/>
    <xf numFmtId="0" fontId="0" fillId="8" borderId="71" xfId="0" applyFill="1" applyBorder="1"/>
    <xf numFmtId="0" fontId="14" fillId="8" borderId="0" xfId="0" applyFont="1" applyFill="1" applyBorder="1" applyAlignment="1">
      <alignment wrapText="1"/>
    </xf>
    <xf numFmtId="0" fontId="14" fillId="0" borderId="0" xfId="0" applyFont="1" applyBorder="1"/>
    <xf numFmtId="0" fontId="14" fillId="0" borderId="0" xfId="0" applyFont="1" applyBorder="1" applyAlignment="1">
      <alignment wrapText="1"/>
    </xf>
    <xf numFmtId="0" fontId="4" fillId="7" borderId="0" xfId="0" applyFont="1" applyFill="1" applyBorder="1" applyAlignment="1">
      <alignment wrapText="1"/>
    </xf>
    <xf numFmtId="0" fontId="8" fillId="6" borderId="75" xfId="0" applyFont="1" applyFill="1" applyBorder="1" applyAlignment="1">
      <alignment horizontal="center"/>
    </xf>
    <xf numFmtId="0" fontId="8" fillId="6" borderId="72" xfId="0" applyFont="1" applyFill="1" applyBorder="1" applyAlignment="1">
      <alignment horizontal="center"/>
    </xf>
    <xf numFmtId="0" fontId="26" fillId="8" borderId="74" xfId="0" applyFont="1" applyFill="1" applyBorder="1" applyAlignment="1">
      <alignment wrapText="1"/>
    </xf>
    <xf numFmtId="14" fontId="4" fillId="7" borderId="76" xfId="0" applyNumberFormat="1" applyFont="1" applyFill="1" applyBorder="1"/>
    <xf numFmtId="14" fontId="4" fillId="7" borderId="1" xfId="0" applyNumberFormat="1" applyFont="1" applyFill="1" applyBorder="1"/>
    <xf numFmtId="0" fontId="0" fillId="8" borderId="0" xfId="0" applyFont="1" applyFill="1" applyAlignment="1">
      <alignment horizontal="right"/>
    </xf>
    <xf numFmtId="0" fontId="0" fillId="0" borderId="0" xfId="0" applyFont="1" applyAlignment="1">
      <alignment horizontal="right"/>
    </xf>
    <xf numFmtId="0" fontId="39" fillId="8" borderId="0" xfId="0" applyFont="1" applyFill="1" applyAlignment="1">
      <alignment horizontal="right"/>
    </xf>
    <xf numFmtId="0" fontId="39" fillId="0" borderId="0" xfId="0" applyFont="1" applyAlignment="1">
      <alignment horizontal="right"/>
    </xf>
    <xf numFmtId="3" fontId="0" fillId="0" borderId="0" xfId="0" applyNumberFormat="1" applyFont="1" applyAlignment="1">
      <alignment horizontal="right"/>
    </xf>
    <xf numFmtId="3" fontId="0" fillId="8" borderId="0" xfId="0" applyNumberFormat="1" applyFont="1" applyFill="1" applyAlignment="1">
      <alignment horizontal="right"/>
    </xf>
    <xf numFmtId="0" fontId="39" fillId="5" borderId="45" xfId="0" applyFont="1" applyFill="1" applyBorder="1" applyAlignment="1">
      <alignment horizontal="right" vertical="top" wrapText="1"/>
    </xf>
    <xf numFmtId="0" fontId="4" fillId="6" borderId="0" xfId="0" applyFont="1" applyFill="1" applyAlignment="1">
      <alignment horizontal="left"/>
    </xf>
    <xf numFmtId="0" fontId="0" fillId="0" borderId="19" xfId="0" applyFill="1" applyBorder="1"/>
    <xf numFmtId="0" fontId="1" fillId="0" borderId="0" xfId="0" applyFont="1" applyFill="1" applyBorder="1"/>
    <xf numFmtId="0" fontId="0" fillId="0" borderId="20" xfId="0" applyFill="1" applyBorder="1"/>
    <xf numFmtId="0" fontId="0" fillId="4" borderId="77" xfId="0" applyFill="1" applyBorder="1"/>
    <xf numFmtId="0" fontId="0" fillId="4" borderId="78" xfId="0" applyFill="1" applyBorder="1"/>
    <xf numFmtId="0" fontId="14" fillId="8" borderId="79" xfId="0" applyFont="1" applyFill="1" applyBorder="1"/>
    <xf numFmtId="0" fontId="0" fillId="8" borderId="33" xfId="0" applyFill="1" applyBorder="1" applyProtection="1"/>
    <xf numFmtId="0" fontId="0" fillId="0" borderId="30" xfId="0" applyFill="1" applyBorder="1" applyProtection="1">
      <protection locked="0"/>
    </xf>
    <xf numFmtId="0" fontId="0" fillId="0" borderId="8" xfId="0" applyFill="1" applyBorder="1" applyProtection="1">
      <protection locked="0"/>
    </xf>
    <xf numFmtId="0" fontId="0" fillId="0" borderId="8" xfId="0" applyFill="1" applyBorder="1" applyProtection="1"/>
    <xf numFmtId="0" fontId="0" fillId="0" borderId="2" xfId="0" applyFill="1" applyBorder="1" applyProtection="1"/>
    <xf numFmtId="43" fontId="0" fillId="0" borderId="2" xfId="0" applyNumberFormat="1" applyFill="1" applyBorder="1" applyProtection="1"/>
    <xf numFmtId="43" fontId="0" fillId="0" borderId="0" xfId="0" applyNumberFormat="1" applyFill="1"/>
    <xf numFmtId="0" fontId="0" fillId="8" borderId="7" xfId="0" applyFill="1" applyBorder="1" applyProtection="1">
      <protection locked="0"/>
    </xf>
    <xf numFmtId="0" fontId="0" fillId="0" borderId="7" xfId="0" applyFill="1" applyBorder="1" applyProtection="1">
      <protection locked="0"/>
    </xf>
    <xf numFmtId="0" fontId="0" fillId="8" borderId="2" xfId="0" applyFill="1" applyBorder="1" applyProtection="1">
      <protection locked="0"/>
    </xf>
    <xf numFmtId="0" fontId="4" fillId="6" borderId="31" xfId="0" applyFont="1" applyFill="1" applyBorder="1" applyAlignment="1" applyProtection="1">
      <alignment wrapText="1"/>
    </xf>
    <xf numFmtId="0" fontId="0" fillId="0" borderId="7" xfId="0" applyFill="1" applyBorder="1" applyProtection="1"/>
    <xf numFmtId="0" fontId="0" fillId="0" borderId="1" xfId="0" applyFill="1" applyBorder="1" applyProtection="1"/>
    <xf numFmtId="0" fontId="0" fillId="0" borderId="65" xfId="0" applyBorder="1"/>
    <xf numFmtId="0" fontId="0" fillId="2" borderId="32" xfId="0" applyFill="1" applyBorder="1"/>
    <xf numFmtId="0" fontId="0" fillId="0" borderId="37" xfId="0" applyBorder="1"/>
    <xf numFmtId="0" fontId="0" fillId="0" borderId="42" xfId="0" applyBorder="1"/>
    <xf numFmtId="0" fontId="0" fillId="0" borderId="81" xfId="0" applyFill="1" applyBorder="1" applyAlignment="1">
      <alignment horizontal="left"/>
    </xf>
    <xf numFmtId="0" fontId="0" fillId="0" borderId="80" xfId="0" applyBorder="1"/>
    <xf numFmtId="0" fontId="0" fillId="0" borderId="81" xfId="0" applyFill="1" applyBorder="1"/>
    <xf numFmtId="0" fontId="35" fillId="0" borderId="85" xfId="0" applyFont="1" applyFill="1" applyBorder="1"/>
    <xf numFmtId="0" fontId="34" fillId="0" borderId="84" xfId="1" applyFont="1" applyFill="1" applyBorder="1" applyAlignment="1">
      <alignment horizontal="left" vertical="center"/>
    </xf>
    <xf numFmtId="0" fontId="34" fillId="0" borderId="86" xfId="1" applyFont="1" applyFill="1" applyBorder="1" applyAlignment="1">
      <alignment horizontal="left" vertical="center"/>
    </xf>
    <xf numFmtId="0" fontId="35" fillId="0" borderId="87" xfId="0" applyFont="1" applyFill="1" applyBorder="1"/>
    <xf numFmtId="0" fontId="24" fillId="8" borderId="85" xfId="0" applyFont="1" applyFill="1" applyBorder="1"/>
    <xf numFmtId="0" fontId="34" fillId="8" borderId="86" xfId="1" applyFont="1" applyFill="1" applyBorder="1" applyAlignment="1">
      <alignment horizontal="left" vertical="center"/>
    </xf>
    <xf numFmtId="0" fontId="24" fillId="8" borderId="88" xfId="0" applyFont="1" applyFill="1" applyBorder="1"/>
    <xf numFmtId="0" fontId="34" fillId="3" borderId="86" xfId="1" applyFont="1" applyFill="1" applyBorder="1" applyAlignment="1">
      <alignment horizontal="left" vertical="center"/>
    </xf>
    <xf numFmtId="0" fontId="24" fillId="3" borderId="85" xfId="0" applyFont="1" applyFill="1" applyBorder="1"/>
    <xf numFmtId="0" fontId="35" fillId="8" borderId="85" xfId="0" applyFont="1" applyFill="1" applyBorder="1"/>
    <xf numFmtId="0" fontId="23" fillId="6" borderId="83" xfId="0" applyFont="1" applyFill="1" applyBorder="1" applyAlignment="1">
      <alignment wrapText="1"/>
    </xf>
    <xf numFmtId="0" fontId="22" fillId="6" borderId="91" xfId="0" applyFont="1" applyFill="1" applyBorder="1"/>
    <xf numFmtId="0" fontId="41" fillId="8" borderId="89" xfId="1" applyFont="1" applyFill="1" applyBorder="1" applyAlignment="1">
      <alignment horizontal="left" vertical="center"/>
    </xf>
    <xf numFmtId="0" fontId="0" fillId="6" borderId="92" xfId="0" applyFill="1" applyBorder="1" applyAlignment="1">
      <alignment wrapText="1"/>
    </xf>
    <xf numFmtId="0" fontId="0" fillId="6" borderId="94" xfId="0" applyFill="1" applyBorder="1"/>
    <xf numFmtId="0" fontId="0" fillId="8" borderId="93" xfId="0" applyFill="1" applyBorder="1"/>
    <xf numFmtId="0" fontId="0" fillId="8" borderId="95" xfId="0" applyFill="1" applyBorder="1"/>
    <xf numFmtId="0" fontId="0" fillId="8" borderId="94" xfId="0" applyFill="1" applyBorder="1"/>
    <xf numFmtId="0" fontId="0" fillId="8" borderId="96" xfId="0" applyFill="1" applyBorder="1"/>
    <xf numFmtId="0" fontId="0" fillId="0" borderId="95" xfId="0" applyBorder="1"/>
    <xf numFmtId="0" fontId="0" fillId="0" borderId="96" xfId="0" applyBorder="1"/>
    <xf numFmtId="0" fontId="0" fillId="8" borderId="97" xfId="0" applyFill="1" applyBorder="1"/>
    <xf numFmtId="0" fontId="0" fillId="0" borderId="97" xfId="0" applyBorder="1"/>
    <xf numFmtId="0" fontId="0" fillId="6" borderId="94" xfId="0" applyFill="1" applyBorder="1" applyAlignment="1">
      <alignment wrapText="1"/>
    </xf>
    <xf numFmtId="0" fontId="3" fillId="8" borderId="82" xfId="0" applyFont="1" applyFill="1" applyBorder="1"/>
    <xf numFmtId="0" fontId="0" fillId="4" borderId="46" xfId="0" applyFill="1" applyBorder="1" applyAlignment="1" applyProtection="1">
      <alignment horizontal="right"/>
      <protection locked="0"/>
    </xf>
    <xf numFmtId="0" fontId="0" fillId="4" borderId="46" xfId="0" applyFill="1" applyBorder="1" applyProtection="1">
      <protection locked="0"/>
    </xf>
    <xf numFmtId="0" fontId="0" fillId="2" borderId="51" xfId="0" applyFill="1" applyBorder="1"/>
    <xf numFmtId="0" fontId="0" fillId="3" borderId="81" xfId="0" applyFill="1" applyBorder="1" applyAlignment="1">
      <alignment horizontal="left" wrapText="1"/>
    </xf>
    <xf numFmtId="0" fontId="7" fillId="3" borderId="37" xfId="0" applyFont="1" applyFill="1" applyBorder="1" applyAlignment="1">
      <alignment horizontal="center"/>
    </xf>
    <xf numFmtId="0" fontId="11" fillId="3" borderId="90" xfId="1" applyFill="1" applyBorder="1" applyAlignment="1">
      <alignment horizontal="left" vertical="center"/>
    </xf>
    <xf numFmtId="0" fontId="5" fillId="3" borderId="56" xfId="0" applyFont="1" applyFill="1" applyBorder="1" applyAlignment="1">
      <alignment horizontal="left" wrapText="1"/>
    </xf>
    <xf numFmtId="0" fontId="5" fillId="3" borderId="81" xfId="0" applyFont="1" applyFill="1" applyBorder="1" applyAlignment="1">
      <alignment horizontal="left" wrapText="1"/>
    </xf>
    <xf numFmtId="0" fontId="0" fillId="3" borderId="37" xfId="0" applyFill="1" applyBorder="1" applyAlignment="1">
      <alignment horizontal="left" wrapText="1"/>
    </xf>
    <xf numFmtId="0" fontId="0" fillId="3" borderId="56" xfId="0" applyFill="1" applyBorder="1" applyAlignment="1">
      <alignment horizontal="left" wrapText="1"/>
    </xf>
    <xf numFmtId="0" fontId="0" fillId="0" borderId="98" xfId="0" applyBorder="1"/>
    <xf numFmtId="0" fontId="0" fillId="0" borderId="98" xfId="0" applyFill="1" applyBorder="1"/>
    <xf numFmtId="0" fontId="0" fillId="4" borderId="36" xfId="0" applyFill="1" applyBorder="1"/>
    <xf numFmtId="0" fontId="0" fillId="2" borderId="66" xfId="0" applyFill="1" applyBorder="1"/>
    <xf numFmtId="0" fontId="0" fillId="4" borderId="30" xfId="0" applyFill="1" applyBorder="1"/>
    <xf numFmtId="0" fontId="11" fillId="4" borderId="36" xfId="1" applyFill="1" applyBorder="1"/>
    <xf numFmtId="0" fontId="0" fillId="0" borderId="36" xfId="0" applyFill="1" applyBorder="1"/>
    <xf numFmtId="0" fontId="14" fillId="4" borderId="2" xfId="0" applyFont="1" applyFill="1" applyBorder="1"/>
    <xf numFmtId="0" fontId="7" fillId="3" borderId="90" xfId="0" applyFont="1" applyFill="1" applyBorder="1" applyAlignment="1">
      <alignment horizontal="center"/>
    </xf>
    <xf numFmtId="0" fontId="0" fillId="3" borderId="37" xfId="0" applyFill="1" applyBorder="1" applyAlignment="1"/>
    <xf numFmtId="0" fontId="0" fillId="3" borderId="37" xfId="0" applyFill="1" applyBorder="1"/>
    <xf numFmtId="0" fontId="13" fillId="3" borderId="31" xfId="0" applyFont="1" applyFill="1" applyBorder="1" applyAlignment="1">
      <alignment horizontal="center"/>
    </xf>
    <xf numFmtId="0" fontId="13" fillId="3" borderId="37" xfId="0" applyFont="1" applyFill="1" applyBorder="1" applyAlignment="1">
      <alignment horizontal="center"/>
    </xf>
    <xf numFmtId="0" fontId="0" fillId="3" borderId="32" xfId="0" applyFill="1" applyBorder="1" applyAlignment="1"/>
    <xf numFmtId="0" fontId="5" fillId="8" borderId="32" xfId="0" applyFont="1" applyFill="1" applyBorder="1" applyAlignment="1">
      <alignment wrapText="1"/>
    </xf>
    <xf numFmtId="0" fontId="0" fillId="3" borderId="6" xfId="0" applyFill="1" applyBorder="1" applyAlignment="1"/>
    <xf numFmtId="0" fontId="0" fillId="8" borderId="56" xfId="0" applyFill="1" applyBorder="1" applyAlignment="1">
      <alignment horizontal="left" wrapText="1"/>
    </xf>
    <xf numFmtId="0" fontId="0" fillId="8" borderId="81" xfId="0" applyFill="1" applyBorder="1" applyAlignment="1">
      <alignment horizontal="left" wrapText="1"/>
    </xf>
    <xf numFmtId="0" fontId="0" fillId="8" borderId="81" xfId="0" applyFill="1" applyBorder="1" applyAlignment="1">
      <alignment wrapText="1"/>
    </xf>
    <xf numFmtId="0" fontId="0" fillId="8" borderId="80" xfId="0" applyFill="1" applyBorder="1" applyAlignment="1">
      <alignment wrapText="1"/>
    </xf>
    <xf numFmtId="0" fontId="0" fillId="8" borderId="31" xfId="0" applyFill="1" applyBorder="1"/>
    <xf numFmtId="0" fontId="0" fillId="8" borderId="32" xfId="0" applyFill="1" applyBorder="1"/>
    <xf numFmtId="0" fontId="0" fillId="8" borderId="46" xfId="0" applyFill="1" applyBorder="1" applyProtection="1">
      <protection locked="0"/>
    </xf>
    <xf numFmtId="0" fontId="0" fillId="8" borderId="0" xfId="0" applyFill="1" applyBorder="1" applyAlignment="1">
      <alignment horizontal="right"/>
    </xf>
    <xf numFmtId="0" fontId="42" fillId="6" borderId="31" xfId="1" applyFont="1" applyFill="1" applyBorder="1" applyAlignment="1">
      <alignment wrapText="1"/>
    </xf>
    <xf numFmtId="0" fontId="44" fillId="0" borderId="0" xfId="0" applyFont="1" applyBorder="1"/>
    <xf numFmtId="0" fontId="0" fillId="4" borderId="7" xfId="0" applyFill="1" applyBorder="1" applyAlignment="1">
      <alignment horizontal="left" wrapText="1"/>
    </xf>
    <xf numFmtId="0" fontId="4" fillId="6" borderId="1" xfId="0" applyFont="1" applyFill="1" applyBorder="1"/>
    <xf numFmtId="0" fontId="4" fillId="6" borderId="1" xfId="0" applyFont="1" applyFill="1" applyBorder="1" applyAlignment="1">
      <alignment horizontal="left" wrapText="1"/>
    </xf>
    <xf numFmtId="0" fontId="0" fillId="8" borderId="1" xfId="0" applyFill="1" applyBorder="1" applyAlignment="1">
      <alignment horizontal="right" wrapText="1"/>
    </xf>
    <xf numFmtId="0" fontId="0" fillId="3" borderId="3" xfId="0" applyFill="1" applyBorder="1" applyAlignment="1">
      <alignment horizontal="left" wrapText="1"/>
    </xf>
    <xf numFmtId="0" fontId="0" fillId="3" borderId="0" xfId="0" applyFill="1" applyBorder="1" applyAlignment="1">
      <alignment horizontal="left" wrapText="1"/>
    </xf>
    <xf numFmtId="0" fontId="0" fillId="0" borderId="32" xfId="0" applyBorder="1"/>
    <xf numFmtId="0" fontId="4" fillId="6" borderId="30" xfId="0" applyFont="1" applyFill="1" applyBorder="1" applyAlignment="1">
      <alignment horizontal="left" wrapText="1"/>
    </xf>
    <xf numFmtId="0" fontId="0" fillId="0" borderId="65" xfId="0" applyFill="1" applyBorder="1" applyAlignment="1">
      <alignment horizontal="left" wrapText="1"/>
    </xf>
    <xf numFmtId="0" fontId="0" fillId="8" borderId="65" xfId="0" applyFill="1" applyBorder="1" applyAlignment="1">
      <alignment horizontal="right" wrapText="1"/>
    </xf>
    <xf numFmtId="0" fontId="0" fillId="0" borderId="65" xfId="0" applyFill="1" applyBorder="1" applyAlignment="1">
      <alignment horizontal="right" wrapText="1"/>
    </xf>
    <xf numFmtId="0" fontId="4" fillId="6" borderId="8" xfId="0" applyFont="1" applyFill="1" applyBorder="1" applyAlignment="1">
      <alignment horizontal="left" wrapText="1"/>
    </xf>
    <xf numFmtId="0" fontId="0" fillId="8" borderId="51" xfId="0" applyFill="1" applyBorder="1" applyAlignment="1">
      <alignment horizontal="left" wrapText="1"/>
    </xf>
    <xf numFmtId="0" fontId="0" fillId="0" borderId="51" xfId="0" applyFill="1" applyBorder="1" applyAlignment="1">
      <alignment horizontal="left" wrapText="1"/>
    </xf>
    <xf numFmtId="0" fontId="0" fillId="8" borderId="51" xfId="0" applyFill="1" applyBorder="1" applyAlignment="1">
      <alignment horizontal="right" wrapText="1"/>
    </xf>
    <xf numFmtId="0" fontId="0" fillId="0" borderId="51" xfId="0" applyFill="1" applyBorder="1" applyAlignment="1">
      <alignment horizontal="right" wrapText="1"/>
    </xf>
    <xf numFmtId="0" fontId="0" fillId="3" borderId="1" xfId="0" applyFill="1" applyBorder="1" applyAlignment="1">
      <alignment horizontal="right" wrapText="1"/>
    </xf>
    <xf numFmtId="0" fontId="0" fillId="2" borderId="0" xfId="0" applyFill="1" applyBorder="1" applyAlignment="1"/>
    <xf numFmtId="0" fontId="0" fillId="2" borderId="39" xfId="0" applyFill="1" applyBorder="1"/>
    <xf numFmtId="0" fontId="0" fillId="2" borderId="36" xfId="0" applyFill="1" applyBorder="1"/>
    <xf numFmtId="0" fontId="0" fillId="2" borderId="65" xfId="0" applyFill="1" applyBorder="1" applyAlignment="1">
      <alignment horizontal="left"/>
    </xf>
    <xf numFmtId="0" fontId="0" fillId="4" borderId="65" xfId="0" applyFill="1" applyBorder="1"/>
    <xf numFmtId="0" fontId="0" fillId="2" borderId="65" xfId="0" applyFill="1" applyBorder="1" applyAlignment="1">
      <alignment horizontal="left" wrapText="1"/>
    </xf>
    <xf numFmtId="0" fontId="0" fillId="4" borderId="65" xfId="0" applyFill="1" applyBorder="1" applyAlignment="1">
      <alignment horizontal="left" wrapText="1"/>
    </xf>
    <xf numFmtId="0" fontId="0" fillId="3" borderId="7" xfId="0" applyFill="1" applyBorder="1" applyAlignment="1">
      <alignment horizontal="right" wrapText="1"/>
    </xf>
    <xf numFmtId="0" fontId="0" fillId="3" borderId="46" xfId="0" applyFill="1" applyBorder="1" applyAlignment="1">
      <alignment horizontal="right" wrapText="1"/>
    </xf>
    <xf numFmtId="0" fontId="14" fillId="4" borderId="0" xfId="0" applyFont="1" applyFill="1" applyBorder="1" applyAlignment="1"/>
    <xf numFmtId="0" fontId="7" fillId="3" borderId="65" xfId="0" applyFont="1" applyFill="1" applyBorder="1" applyAlignment="1">
      <alignment horizontal="center"/>
    </xf>
    <xf numFmtId="0" fontId="5" fillId="3" borderId="65" xfId="0" applyFont="1" applyFill="1" applyBorder="1" applyAlignment="1">
      <alignment horizontal="left" wrapText="1"/>
    </xf>
    <xf numFmtId="0" fontId="0" fillId="3" borderId="65" xfId="0" applyFill="1" applyBorder="1" applyAlignment="1">
      <alignment horizontal="left" wrapText="1"/>
    </xf>
    <xf numFmtId="0" fontId="0" fillId="0" borderId="65" xfId="0" applyBorder="1" applyAlignment="1">
      <alignment wrapText="1"/>
    </xf>
    <xf numFmtId="0" fontId="5" fillId="8" borderId="30" xfId="0" applyFont="1" applyFill="1" applyBorder="1" applyAlignment="1">
      <alignment horizontal="left" wrapText="1"/>
    </xf>
    <xf numFmtId="0" fontId="2" fillId="8" borderId="36" xfId="0" applyFont="1" applyFill="1" applyBorder="1"/>
    <xf numFmtId="0" fontId="0" fillId="4" borderId="0" xfId="0" applyFill="1"/>
    <xf numFmtId="0" fontId="0" fillId="2" borderId="0" xfId="0" applyFill="1" applyBorder="1" applyAlignment="1">
      <alignment wrapText="1"/>
    </xf>
    <xf numFmtId="0" fontId="0" fillId="4" borderId="46" xfId="0" applyFill="1" applyBorder="1" applyAlignment="1">
      <alignment horizontal="left" wrapText="1"/>
    </xf>
    <xf numFmtId="0" fontId="14" fillId="8" borderId="74" xfId="0" applyFont="1" applyFill="1" applyBorder="1" applyAlignment="1">
      <alignment horizontal="left" wrapText="1"/>
    </xf>
    <xf numFmtId="14" fontId="8" fillId="7" borderId="76" xfId="0" applyNumberFormat="1" applyFont="1" applyFill="1" applyBorder="1" applyAlignment="1">
      <alignment horizontal="center"/>
    </xf>
    <xf numFmtId="0" fontId="0" fillId="0" borderId="3" xfId="0" applyBorder="1" applyAlignment="1">
      <alignment horizontal="left" vertical="top" wrapText="1"/>
    </xf>
    <xf numFmtId="0" fontId="0" fillId="0" borderId="0" xfId="0" applyBorder="1" applyAlignment="1">
      <alignment horizontal="left" vertical="top" wrapText="1"/>
    </xf>
    <xf numFmtId="0" fontId="4" fillId="6" borderId="33" xfId="0" applyFont="1" applyFill="1" applyBorder="1" applyAlignment="1">
      <alignment horizontal="center"/>
    </xf>
    <xf numFmtId="0" fontId="1" fillId="0" borderId="3" xfId="0" applyFont="1" applyBorder="1" applyAlignment="1">
      <alignment horizontal="center"/>
    </xf>
    <xf numFmtId="0" fontId="1" fillId="0" borderId="0" xfId="0" applyFont="1" applyBorder="1" applyAlignment="1">
      <alignment horizontal="center"/>
    </xf>
    <xf numFmtId="0" fontId="17" fillId="6" borderId="0" xfId="0" applyFont="1" applyFill="1" applyAlignment="1">
      <alignment horizontal="center"/>
    </xf>
    <xf numFmtId="0" fontId="11" fillId="0" borderId="0" xfId="1" applyAlignment="1">
      <alignment horizontal="left"/>
    </xf>
    <xf numFmtId="0" fontId="8" fillId="6" borderId="60" xfId="0" applyFont="1" applyFill="1" applyBorder="1" applyAlignment="1">
      <alignment horizontal="center"/>
    </xf>
    <xf numFmtId="0" fontId="20" fillId="6" borderId="61" xfId="0" applyFont="1" applyFill="1" applyBorder="1" applyAlignment="1">
      <alignment horizontal="center"/>
    </xf>
    <xf numFmtId="0" fontId="36" fillId="8" borderId="62" xfId="1" applyFont="1" applyFill="1" applyBorder="1" applyAlignment="1">
      <alignment horizontal="center"/>
    </xf>
    <xf numFmtId="0" fontId="36" fillId="8" borderId="0" xfId="1" applyFont="1" applyFill="1" applyBorder="1" applyAlignment="1">
      <alignment horizontal="center"/>
    </xf>
    <xf numFmtId="0" fontId="36" fillId="8" borderId="63" xfId="1" applyFont="1" applyFill="1" applyBorder="1" applyAlignment="1">
      <alignment horizontal="center"/>
    </xf>
    <xf numFmtId="0" fontId="36" fillId="8" borderId="64" xfId="1" applyFont="1" applyFill="1" applyBorder="1" applyAlignment="1">
      <alignment horizontal="center"/>
    </xf>
    <xf numFmtId="0" fontId="31" fillId="6" borderId="2" xfId="0" applyFont="1" applyFill="1" applyBorder="1" applyAlignment="1">
      <alignment horizontal="center" vertical="center"/>
    </xf>
    <xf numFmtId="0" fontId="19" fillId="6" borderId="36" xfId="0" applyFont="1" applyFill="1" applyBorder="1" applyAlignment="1">
      <alignment horizontal="center" vertical="center"/>
    </xf>
    <xf numFmtId="0" fontId="19" fillId="6" borderId="30" xfId="0" applyFont="1" applyFill="1" applyBorder="1" applyAlignment="1">
      <alignment horizontal="center" vertical="center"/>
    </xf>
    <xf numFmtId="0" fontId="32" fillId="8" borderId="66" xfId="0" applyFont="1" applyFill="1" applyBorder="1" applyAlignment="1">
      <alignment horizontal="left" wrapText="1"/>
    </xf>
    <xf numFmtId="0" fontId="32" fillId="8" borderId="0" xfId="0" applyFont="1" applyFill="1" applyBorder="1" applyAlignment="1">
      <alignment horizontal="left" wrapText="1"/>
    </xf>
    <xf numFmtId="0" fontId="32" fillId="8" borderId="65" xfId="0" applyFont="1" applyFill="1" applyBorder="1" applyAlignment="1">
      <alignment horizontal="left" wrapText="1"/>
    </xf>
    <xf numFmtId="0" fontId="14" fillId="8" borderId="31" xfId="0" applyFont="1" applyFill="1" applyBorder="1" applyAlignment="1">
      <alignment horizontal="left" wrapText="1"/>
    </xf>
    <xf numFmtId="0" fontId="14" fillId="8" borderId="37" xfId="0" applyFont="1" applyFill="1" applyBorder="1" applyAlignment="1">
      <alignment horizontal="left" wrapText="1"/>
    </xf>
    <xf numFmtId="0" fontId="14" fillId="8" borderId="32" xfId="0" applyFont="1" applyFill="1" applyBorder="1" applyAlignment="1">
      <alignment horizontal="left" wrapText="1"/>
    </xf>
    <xf numFmtId="0" fontId="14" fillId="8" borderId="66" xfId="0" applyFont="1" applyFill="1" applyBorder="1" applyAlignment="1">
      <alignment horizontal="left" wrapText="1"/>
    </xf>
    <xf numFmtId="0" fontId="14" fillId="8" borderId="0" xfId="0" applyFont="1" applyFill="1" applyBorder="1" applyAlignment="1">
      <alignment horizontal="left" wrapText="1"/>
    </xf>
    <xf numFmtId="0" fontId="14" fillId="8" borderId="65" xfId="0" applyFont="1" applyFill="1" applyBorder="1" applyAlignment="1">
      <alignment horizontal="left" wrapText="1"/>
    </xf>
    <xf numFmtId="0" fontId="0" fillId="0" borderId="21"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6" fillId="6" borderId="24" xfId="0" applyFont="1" applyFill="1" applyBorder="1" applyAlignment="1">
      <alignment horizontal="center" vertical="center"/>
    </xf>
    <xf numFmtId="0" fontId="6" fillId="6" borderId="25" xfId="0" applyFont="1" applyFill="1" applyBorder="1" applyAlignment="1">
      <alignment horizontal="center" vertical="center"/>
    </xf>
    <xf numFmtId="0" fontId="6" fillId="6" borderId="26" xfId="0" applyFont="1" applyFill="1" applyBorder="1" applyAlignment="1">
      <alignment horizontal="center" vertical="center"/>
    </xf>
    <xf numFmtId="0" fontId="0" fillId="8" borderId="29" xfId="0" applyFill="1" applyBorder="1" applyAlignment="1">
      <alignment horizontal="left" wrapText="1"/>
    </xf>
    <xf numFmtId="0" fontId="0" fillId="8" borderId="18" xfId="0" applyFill="1" applyBorder="1" applyAlignment="1">
      <alignment horizontal="left" wrapText="1"/>
    </xf>
    <xf numFmtId="0" fontId="0" fillId="8" borderId="43" xfId="0" applyFill="1" applyBorder="1" applyAlignment="1">
      <alignment horizontal="left" wrapText="1"/>
    </xf>
    <xf numFmtId="0" fontId="0" fillId="8" borderId="19" xfId="0" applyFill="1" applyBorder="1" applyAlignment="1">
      <alignment horizontal="left"/>
    </xf>
    <xf numFmtId="0" fontId="0" fillId="8" borderId="0" xfId="0" applyFill="1" applyBorder="1" applyAlignment="1">
      <alignment horizontal="left"/>
    </xf>
    <xf numFmtId="0" fontId="0" fillId="8" borderId="20" xfId="0" applyFill="1" applyBorder="1" applyAlignment="1">
      <alignment horizontal="left"/>
    </xf>
    <xf numFmtId="0" fontId="5" fillId="8" borderId="19" xfId="0" applyFont="1" applyFill="1" applyBorder="1" applyAlignment="1">
      <alignment horizontal="left" vertical="center" wrapText="1"/>
    </xf>
    <xf numFmtId="0" fontId="0" fillId="8" borderId="0" xfId="0" applyFill="1" applyBorder="1" applyAlignment="1">
      <alignment horizontal="left" vertical="center" wrapText="1"/>
    </xf>
    <xf numFmtId="0" fontId="0" fillId="8" borderId="20" xfId="0" applyFill="1" applyBorder="1" applyAlignment="1">
      <alignment horizontal="left" vertical="center" wrapText="1"/>
    </xf>
    <xf numFmtId="0" fontId="0" fillId="8" borderId="19" xfId="0" applyFill="1" applyBorder="1" applyAlignment="1">
      <alignment horizontal="left" vertical="center" wrapText="1"/>
    </xf>
    <xf numFmtId="0" fontId="0" fillId="8" borderId="66" xfId="0" applyFill="1" applyBorder="1" applyAlignment="1">
      <alignment horizontal="left" wrapText="1"/>
    </xf>
    <xf numFmtId="0" fontId="0" fillId="8" borderId="0" xfId="0" applyFill="1" applyBorder="1" applyAlignment="1">
      <alignment horizontal="left" wrapText="1"/>
    </xf>
    <xf numFmtId="0" fontId="0" fillId="8" borderId="34" xfId="0" applyFill="1" applyBorder="1" applyAlignment="1">
      <alignment horizontal="left" wrapText="1"/>
    </xf>
    <xf numFmtId="0" fontId="0" fillId="8" borderId="66" xfId="0" applyFill="1" applyBorder="1" applyAlignment="1">
      <alignment horizontal="left"/>
    </xf>
    <xf numFmtId="0" fontId="0" fillId="8" borderId="34" xfId="0" applyFill="1" applyBorder="1" applyAlignment="1">
      <alignment horizontal="left"/>
    </xf>
    <xf numFmtId="0" fontId="0" fillId="8" borderId="31" xfId="0" applyFill="1" applyBorder="1" applyAlignment="1">
      <alignment horizontal="left" wrapText="1"/>
    </xf>
    <xf numFmtId="0" fontId="0" fillId="8" borderId="37" xfId="0" applyFill="1" applyBorder="1" applyAlignment="1">
      <alignment horizontal="left" wrapText="1"/>
    </xf>
    <xf numFmtId="0" fontId="0" fillId="8" borderId="42" xfId="0" applyFill="1" applyBorder="1" applyAlignment="1">
      <alignment horizontal="left" wrapText="1"/>
    </xf>
    <xf numFmtId="0" fontId="3" fillId="8" borderId="66" xfId="0" applyFont="1" applyFill="1" applyBorder="1" applyAlignment="1">
      <alignment horizontal="left"/>
    </xf>
    <xf numFmtId="0" fontId="3" fillId="8" borderId="0" xfId="0" applyFont="1" applyFill="1" applyBorder="1" applyAlignment="1">
      <alignment horizontal="left"/>
    </xf>
    <xf numFmtId="0" fontId="3" fillId="8" borderId="34" xfId="0" applyFont="1" applyFill="1" applyBorder="1" applyAlignment="1">
      <alignment horizontal="left"/>
    </xf>
    <xf numFmtId="0" fontId="5" fillId="8" borderId="66" xfId="0" applyFont="1" applyFill="1" applyBorder="1" applyAlignment="1">
      <alignment horizontal="left" vertical="center" wrapText="1"/>
    </xf>
    <xf numFmtId="0" fontId="5" fillId="8" borderId="0" xfId="0" applyFont="1" applyFill="1" applyBorder="1" applyAlignment="1">
      <alignment horizontal="left" vertical="center" wrapText="1"/>
    </xf>
    <xf numFmtId="0" fontId="5" fillId="8" borderId="34" xfId="0" applyFont="1" applyFill="1" applyBorder="1" applyAlignment="1">
      <alignment horizontal="left" vertical="center" wrapText="1"/>
    </xf>
    <xf numFmtId="0" fontId="5" fillId="8" borderId="31" xfId="0" applyFont="1" applyFill="1" applyBorder="1" applyAlignment="1">
      <alignment horizontal="left" vertical="top" wrapText="1"/>
    </xf>
    <xf numFmtId="0" fontId="5" fillId="8" borderId="37" xfId="0" applyFont="1" applyFill="1" applyBorder="1" applyAlignment="1">
      <alignment horizontal="left" vertical="top" wrapText="1"/>
    </xf>
    <xf numFmtId="0" fontId="5" fillId="8" borderId="42" xfId="0" applyFont="1" applyFill="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2" borderId="7" xfId="0" applyFill="1" applyBorder="1" applyAlignment="1">
      <alignment horizontal="left"/>
    </xf>
    <xf numFmtId="0" fontId="0" fillId="2" borderId="81" xfId="0" applyFill="1" applyBorder="1" applyAlignment="1">
      <alignment horizontal="left"/>
    </xf>
    <xf numFmtId="0" fontId="0" fillId="2" borderId="6" xfId="0" applyFill="1" applyBorder="1" applyAlignment="1">
      <alignment horizontal="left"/>
    </xf>
    <xf numFmtId="0" fontId="0" fillId="2" borderId="37" xfId="0" applyFill="1" applyBorder="1" applyAlignment="1">
      <alignment horizontal="left"/>
    </xf>
    <xf numFmtId="0" fontId="0" fillId="2" borderId="32" xfId="0" applyFill="1" applyBorder="1" applyAlignment="1">
      <alignment horizontal="left"/>
    </xf>
    <xf numFmtId="0" fontId="0" fillId="4" borderId="0" xfId="0" applyFill="1" applyBorder="1" applyAlignment="1">
      <alignment horizontal="left"/>
    </xf>
    <xf numFmtId="0" fontId="0" fillId="4" borderId="36" xfId="0" applyFill="1" applyBorder="1" applyAlignment="1">
      <alignment horizontal="left"/>
    </xf>
    <xf numFmtId="0" fontId="0" fillId="4" borderId="30" xfId="0" applyFill="1" applyBorder="1" applyAlignment="1">
      <alignment horizontal="left"/>
    </xf>
    <xf numFmtId="0" fontId="0" fillId="2" borderId="31" xfId="0" applyFill="1" applyBorder="1" applyAlignment="1">
      <alignment horizontal="left"/>
    </xf>
    <xf numFmtId="0" fontId="0" fillId="8" borderId="66" xfId="0" applyFont="1" applyFill="1" applyBorder="1" applyAlignment="1">
      <alignment horizontal="left" wrapText="1"/>
    </xf>
    <xf numFmtId="0" fontId="0" fillId="8" borderId="0" xfId="0" applyFont="1" applyFill="1" applyBorder="1" applyAlignment="1">
      <alignment horizontal="left" wrapText="1"/>
    </xf>
    <xf numFmtId="0" fontId="0" fillId="8" borderId="34" xfId="0" applyFont="1" applyFill="1" applyBorder="1" applyAlignment="1">
      <alignment horizontal="left" wrapText="1"/>
    </xf>
    <xf numFmtId="0" fontId="6" fillId="6" borderId="3"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34" xfId="0" applyFont="1" applyFill="1" applyBorder="1" applyAlignment="1">
      <alignment horizontal="center" vertical="center"/>
    </xf>
    <xf numFmtId="0" fontId="0" fillId="0" borderId="0" xfId="0" applyBorder="1" applyAlignment="1">
      <alignment horizontal="center"/>
    </xf>
    <xf numFmtId="0" fontId="0" fillId="0" borderId="65" xfId="0" applyBorder="1" applyAlignment="1">
      <alignment horizontal="center"/>
    </xf>
    <xf numFmtId="0" fontId="0" fillId="8" borderId="3" xfId="0" applyFill="1" applyBorder="1" applyAlignment="1">
      <alignment horizontal="left" wrapText="1"/>
    </xf>
    <xf numFmtId="0" fontId="0" fillId="8" borderId="65" xfId="0" applyFill="1" applyBorder="1" applyAlignment="1">
      <alignment horizontal="left" wrapText="1"/>
    </xf>
    <xf numFmtId="0" fontId="0" fillId="8" borderId="90" xfId="0" applyFill="1" applyBorder="1" applyAlignment="1">
      <alignment horizontal="left" wrapText="1"/>
    </xf>
    <xf numFmtId="0" fontId="0" fillId="8" borderId="32" xfId="0" applyFill="1" applyBorder="1" applyAlignment="1">
      <alignment horizontal="left" wrapText="1"/>
    </xf>
    <xf numFmtId="0" fontId="6" fillId="6" borderId="38" xfId="0" applyFont="1" applyFill="1" applyBorder="1" applyAlignment="1">
      <alignment horizontal="center" vertical="center"/>
    </xf>
    <xf numFmtId="0" fontId="6" fillId="6" borderId="39" xfId="0" applyFont="1" applyFill="1" applyBorder="1" applyAlignment="1">
      <alignment horizontal="center" vertical="center"/>
    </xf>
    <xf numFmtId="0" fontId="6" fillId="6" borderId="72" xfId="0" applyFont="1" applyFill="1" applyBorder="1" applyAlignment="1">
      <alignment horizontal="center" vertical="center"/>
    </xf>
    <xf numFmtId="0" fontId="5" fillId="8" borderId="3" xfId="0" applyFont="1" applyFill="1" applyBorder="1" applyAlignment="1">
      <alignment horizontal="left" vertical="center" wrapText="1"/>
    </xf>
    <xf numFmtId="0" fontId="5" fillId="8" borderId="65" xfId="0" applyFont="1" applyFill="1" applyBorder="1" applyAlignment="1">
      <alignment horizontal="left" vertical="center" wrapText="1"/>
    </xf>
    <xf numFmtId="0" fontId="5" fillId="8" borderId="90" xfId="0" applyFont="1" applyFill="1" applyBorder="1" applyAlignment="1">
      <alignment horizontal="left" vertical="top" wrapText="1"/>
    </xf>
    <xf numFmtId="0" fontId="5" fillId="8" borderId="32" xfId="0" applyFont="1" applyFill="1" applyBorder="1" applyAlignment="1">
      <alignment horizontal="left" vertical="top" wrapText="1"/>
    </xf>
    <xf numFmtId="0" fontId="0" fillId="8" borderId="3" xfId="0" applyFont="1" applyFill="1" applyBorder="1" applyAlignment="1">
      <alignment horizontal="left" wrapText="1"/>
    </xf>
    <xf numFmtId="0" fontId="0" fillId="8" borderId="65" xfId="0" applyFont="1" applyFill="1" applyBorder="1" applyAlignment="1">
      <alignment horizontal="left" wrapText="1"/>
    </xf>
    <xf numFmtId="0" fontId="0" fillId="8" borderId="3" xfId="0" applyFont="1" applyFill="1" applyBorder="1" applyAlignment="1">
      <alignment horizontal="left"/>
    </xf>
    <xf numFmtId="0" fontId="3" fillId="8" borderId="65" xfId="0" applyFont="1" applyFill="1" applyBorder="1" applyAlignment="1">
      <alignment horizontal="left"/>
    </xf>
    <xf numFmtId="0" fontId="3" fillId="3" borderId="3" xfId="0" applyFont="1" applyFill="1" applyBorder="1" applyAlignment="1">
      <alignment horizontal="left" wrapText="1"/>
    </xf>
    <xf numFmtId="0" fontId="3" fillId="3" borderId="0" xfId="0" applyFont="1" applyFill="1" applyBorder="1" applyAlignment="1">
      <alignment horizontal="left" wrapText="1"/>
    </xf>
    <xf numFmtId="0" fontId="3" fillId="3" borderId="65" xfId="0" applyFont="1" applyFill="1" applyBorder="1" applyAlignment="1">
      <alignment horizontal="left" wrapText="1"/>
    </xf>
    <xf numFmtId="0" fontId="3" fillId="0" borderId="0" xfId="0" applyFont="1" applyFill="1" applyBorder="1" applyAlignment="1">
      <alignment horizontal="left" wrapText="1"/>
    </xf>
    <xf numFmtId="0" fontId="3" fillId="0" borderId="65" xfId="0" applyFont="1" applyFill="1" applyBorder="1" applyAlignment="1">
      <alignment horizontal="left" wrapText="1"/>
    </xf>
    <xf numFmtId="0" fontId="45" fillId="0" borderId="0" xfId="1" applyFont="1" applyFill="1" applyBorder="1" applyAlignment="1">
      <alignment horizontal="left"/>
    </xf>
    <xf numFmtId="0" fontId="45" fillId="0" borderId="65" xfId="1" applyFont="1" applyFill="1" applyBorder="1" applyAlignment="1">
      <alignment horizontal="left"/>
    </xf>
    <xf numFmtId="0" fontId="3" fillId="0" borderId="0" xfId="0" applyFont="1" applyFill="1" applyBorder="1" applyAlignment="1">
      <alignment horizontal="left" vertical="center" wrapText="1"/>
    </xf>
    <xf numFmtId="0" fontId="3" fillId="0" borderId="65" xfId="0" applyFont="1" applyFill="1" applyBorder="1" applyAlignment="1">
      <alignment horizontal="left" vertical="center" wrapText="1"/>
    </xf>
    <xf numFmtId="0" fontId="6" fillId="6" borderId="40" xfId="0" applyFont="1" applyFill="1" applyBorder="1" applyAlignment="1">
      <alignment horizontal="center" vertical="center"/>
    </xf>
    <xf numFmtId="0" fontId="4" fillId="6" borderId="8" xfId="0" applyFont="1" applyFill="1" applyBorder="1" applyAlignment="1">
      <alignment horizontal="center"/>
    </xf>
    <xf numFmtId="0" fontId="4" fillId="6" borderId="33" xfId="0" applyFont="1" applyFill="1" applyBorder="1" applyAlignment="1">
      <alignment horizontal="center"/>
    </xf>
    <xf numFmtId="0" fontId="3" fillId="8" borderId="3" xfId="0" applyFont="1" applyFill="1" applyBorder="1" applyAlignment="1">
      <alignment horizontal="left"/>
    </xf>
    <xf numFmtId="0" fontId="5" fillId="8" borderId="90" xfId="0" applyFont="1" applyFill="1" applyBorder="1" applyAlignment="1">
      <alignment horizontal="left" vertical="center" wrapText="1"/>
    </xf>
    <xf numFmtId="0" fontId="5" fillId="8" borderId="37" xfId="0" applyFont="1" applyFill="1" applyBorder="1" applyAlignment="1">
      <alignment horizontal="left" vertical="center" wrapText="1"/>
    </xf>
    <xf numFmtId="0" fontId="5" fillId="8" borderId="42" xfId="0" applyFont="1" applyFill="1" applyBorder="1" applyAlignment="1">
      <alignment horizontal="left" vertical="center" wrapText="1"/>
    </xf>
    <xf numFmtId="0" fontId="3" fillId="8" borderId="3" xfId="0" applyFont="1" applyFill="1" applyBorder="1" applyAlignment="1">
      <alignment horizontal="left" vertical="top" wrapText="1"/>
    </xf>
    <xf numFmtId="0" fontId="3" fillId="8" borderId="0" xfId="0" applyFont="1" applyFill="1" applyBorder="1" applyAlignment="1">
      <alignment horizontal="left" vertical="top" wrapText="1"/>
    </xf>
    <xf numFmtId="0" fontId="3" fillId="8" borderId="34" xfId="0" applyFont="1" applyFill="1" applyBorder="1" applyAlignment="1">
      <alignment horizontal="left" vertical="top" wrapText="1"/>
    </xf>
    <xf numFmtId="0" fontId="0" fillId="8" borderId="3" xfId="0" applyFill="1" applyBorder="1" applyAlignment="1">
      <alignment horizontal="left" vertical="center" wrapText="1"/>
    </xf>
    <xf numFmtId="0" fontId="0" fillId="8" borderId="34" xfId="0" applyFill="1" applyBorder="1" applyAlignment="1">
      <alignment horizontal="left" vertical="center" wrapText="1"/>
    </xf>
    <xf numFmtId="0" fontId="0" fillId="8" borderId="90" xfId="0" applyFill="1" applyBorder="1" applyAlignment="1">
      <alignment horizontal="left" vertical="center" wrapText="1"/>
    </xf>
    <xf numFmtId="0" fontId="0" fillId="8" borderId="37" xfId="0" applyFill="1" applyBorder="1" applyAlignment="1">
      <alignment horizontal="left" vertical="center" wrapText="1"/>
    </xf>
    <xf numFmtId="0" fontId="0" fillId="8" borderId="42" xfId="0" applyFill="1" applyBorder="1" applyAlignment="1">
      <alignment horizontal="left" vertical="center" wrapText="1"/>
    </xf>
    <xf numFmtId="0" fontId="0" fillId="8" borderId="57" xfId="0" applyFill="1" applyBorder="1" applyAlignment="1">
      <alignment horizontal="right"/>
    </xf>
    <xf numFmtId="0" fontId="0" fillId="8" borderId="44" xfId="0" applyFill="1" applyBorder="1" applyAlignment="1">
      <alignment horizontal="right"/>
    </xf>
    <xf numFmtId="0" fontId="0" fillId="0" borderId="3" xfId="0" applyBorder="1" applyAlignment="1">
      <alignment horizontal="left" vertical="top" wrapText="1"/>
    </xf>
    <xf numFmtId="0" fontId="0" fillId="0" borderId="0" xfId="0" applyBorder="1" applyAlignment="1">
      <alignment horizontal="left" vertical="top" wrapText="1"/>
    </xf>
    <xf numFmtId="0" fontId="0" fillId="8" borderId="50" xfId="0" applyFill="1" applyBorder="1" applyAlignment="1">
      <alignment horizontal="right"/>
    </xf>
    <xf numFmtId="0" fontId="0" fillId="8" borderId="49" xfId="0" applyFill="1" applyBorder="1" applyAlignment="1">
      <alignment horizontal="right"/>
    </xf>
    <xf numFmtId="0" fontId="11" fillId="3" borderId="7" xfId="1" applyFill="1" applyBorder="1" applyAlignment="1">
      <alignment horizontal="left"/>
    </xf>
    <xf numFmtId="0" fontId="11" fillId="3" borderId="81" xfId="1" applyFill="1" applyBorder="1" applyAlignment="1">
      <alignment horizontal="left"/>
    </xf>
    <xf numFmtId="0" fontId="0" fillId="8" borderId="31" xfId="0" applyFill="1" applyBorder="1" applyAlignment="1">
      <alignment horizontal="left"/>
    </xf>
    <xf numFmtId="0" fontId="0" fillId="8" borderId="37" xfId="0" applyFill="1" applyBorder="1" applyAlignment="1">
      <alignment horizontal="left"/>
    </xf>
    <xf numFmtId="0" fontId="5" fillId="8" borderId="31" xfId="0" applyFont="1" applyFill="1" applyBorder="1" applyAlignment="1">
      <alignment horizontal="left" vertical="center" wrapText="1"/>
    </xf>
    <xf numFmtId="0" fontId="1" fillId="0" borderId="3" xfId="0" applyFont="1" applyBorder="1" applyAlignment="1">
      <alignment horizontal="center"/>
    </xf>
    <xf numFmtId="0" fontId="1" fillId="0" borderId="0" xfId="0" applyFont="1" applyBorder="1" applyAlignment="1">
      <alignment horizontal="center"/>
    </xf>
    <xf numFmtId="0" fontId="3" fillId="8" borderId="36" xfId="0" applyFont="1" applyFill="1" applyBorder="1" applyAlignment="1">
      <alignment horizontal="left"/>
    </xf>
    <xf numFmtId="0" fontId="37" fillId="6" borderId="0" xfId="0" applyFont="1" applyFill="1" applyAlignment="1">
      <alignment horizontal="center" vertical="center"/>
    </xf>
    <xf numFmtId="0" fontId="6" fillId="6" borderId="0" xfId="0" applyFont="1" applyFill="1" applyAlignment="1">
      <alignment horizontal="center" vertical="center" wrapText="1"/>
    </xf>
    <xf numFmtId="0" fontId="14" fillId="0" borderId="0" xfId="0" applyFont="1" applyFill="1" applyAlignment="1">
      <alignment horizontal="left" wrapText="1"/>
    </xf>
    <xf numFmtId="0" fontId="6" fillId="0" borderId="0" xfId="0" applyFont="1" applyFill="1" applyAlignment="1">
      <alignment horizontal="left" wrapText="1"/>
    </xf>
    <xf numFmtId="0" fontId="6" fillId="6" borderId="0" xfId="0" applyFont="1" applyFill="1" applyAlignment="1">
      <alignment horizontal="center" vertical="center"/>
    </xf>
    <xf numFmtId="0" fontId="0" fillId="0" borderId="0" xfId="0" applyAlignment="1">
      <alignment horizontal="right"/>
    </xf>
    <xf numFmtId="0" fontId="6" fillId="6" borderId="2" xfId="0" applyFont="1" applyFill="1" applyBorder="1" applyAlignment="1">
      <alignment horizontal="center" vertical="center"/>
    </xf>
    <xf numFmtId="0" fontId="6" fillId="6" borderId="30" xfId="0" applyFont="1" applyFill="1" applyBorder="1" applyAlignment="1">
      <alignment horizontal="center" vertical="center"/>
    </xf>
    <xf numFmtId="0" fontId="11" fillId="0" borderId="73" xfId="1" applyBorder="1" applyAlignment="1">
      <alignment horizontal="left"/>
    </xf>
    <xf numFmtId="0" fontId="11" fillId="0" borderId="74" xfId="1" applyBorder="1" applyAlignment="1">
      <alignment horizontal="left"/>
    </xf>
  </cellXfs>
  <cellStyles count="3">
    <cellStyle name="Comma" xfId="2" builtinId="3"/>
    <cellStyle name="Hyperlink" xfId="1" builtinId="8"/>
    <cellStyle name="Normal" xfId="0" builtinId="0"/>
  </cellStyles>
  <dxfs count="98">
    <dxf>
      <border diagonalUp="0" diagonalDown="0">
        <left style="medium">
          <color indexed="64"/>
        </left>
        <right/>
        <top/>
        <bottom/>
        <vertical/>
        <horizontal/>
      </border>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color theme="0"/>
        <name val="Aptos Narrow"/>
        <family val="2"/>
        <scheme val="minor"/>
      </font>
      <fill>
        <patternFill patternType="solid">
          <fgColor indexed="64"/>
          <bgColor rgb="FF233F2B"/>
        </patternFill>
      </fill>
      <alignment horizontal="left" vertical="bottom" textRotation="0" wrapText="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color theme="0"/>
        <name val="Aptos Narrow"/>
        <family val="2"/>
        <scheme val="minor"/>
      </font>
      <fill>
        <patternFill patternType="solid">
          <fgColor indexed="64"/>
          <bgColor rgb="FF233F2B"/>
        </patternFill>
      </fill>
      <alignment horizontal="left" vertical="bottom" textRotation="0" wrapText="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color theme="0"/>
        <name val="Aptos Narrow"/>
        <family val="2"/>
        <scheme val="minor"/>
      </font>
      <fill>
        <patternFill patternType="solid">
          <fgColor indexed="64"/>
          <bgColor rgb="FF233F2B"/>
        </patternFill>
      </fill>
      <alignment horizontal="left" vertical="bottom" textRotation="0" wrapText="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vertical="bottom" textRotation="0" wrapText="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name val="Aptos Narrow"/>
        <family val="2"/>
        <scheme val="minor"/>
      </font>
      <alignment horizontal="right" textRotation="0" indent="0" justifyLastLine="0" shrinkToFit="0" readingOrder="0"/>
    </dxf>
    <dxf>
      <font>
        <strike val="0"/>
        <outline val="0"/>
        <shadow val="0"/>
        <u val="none"/>
        <vertAlign val="baseline"/>
        <sz val="11"/>
        <color theme="0"/>
        <name val="Aptos Narrow"/>
        <family val="2"/>
        <scheme val="minor"/>
      </font>
      <fill>
        <patternFill patternType="solid">
          <fgColor indexed="64"/>
          <bgColor rgb="FF233F2B"/>
        </patternFill>
      </fill>
      <alignment horizontal="left" vertical="bottom" textRotation="0" wrapText="0" indent="0" justifyLastLine="0" shrinkToFit="0" readingOrder="0"/>
    </dxf>
    <dxf>
      <border diagonalUp="0" diagonalDown="0">
        <left style="thin">
          <color rgb="FF233F2B"/>
        </left>
        <right style="thin">
          <color rgb="FF233F2B"/>
        </right>
        <vertical/>
      </border>
    </dxf>
    <dxf>
      <border diagonalUp="0" diagonalDown="0">
        <left style="thin">
          <color rgb="FF233F2B"/>
        </left>
        <right style="thin">
          <color rgb="FF233F2B"/>
        </right>
        <top/>
        <bottom/>
        <vertical/>
        <horizontal/>
      </border>
    </dxf>
    <dxf>
      <border diagonalUp="0" diagonalDown="0">
        <left/>
        <right style="thin">
          <color rgb="FF233F2B"/>
        </right>
        <vertical/>
      </border>
    </dxf>
    <dxf>
      <border>
        <bottom style="thin">
          <color rgb="FF233F2B"/>
        </bottom>
      </border>
    </dxf>
    <dxf>
      <fill>
        <patternFill patternType="solid">
          <fgColor indexed="64"/>
          <bgColor rgb="FF233F2B"/>
        </patternFill>
      </fill>
    </dxf>
    <dxf>
      <font>
        <strike val="0"/>
        <outline val="0"/>
        <shadow val="0"/>
        <u val="none"/>
        <sz val="11"/>
        <color auto="1"/>
        <name val="Aptos Narrow"/>
        <family val="2"/>
        <scheme val="minor"/>
      </font>
    </dxf>
    <dxf>
      <font>
        <strike val="0"/>
        <outline val="0"/>
        <shadow val="0"/>
        <u val="none"/>
        <sz val="11"/>
        <color auto="1"/>
        <name val="Aptos Narrow"/>
        <family val="2"/>
        <scheme val="minor"/>
      </font>
      <alignment horizontal="general" vertical="bottom" textRotation="0" wrapText="1" indent="0" justifyLastLine="0" shrinkToFit="0" readingOrder="0"/>
    </dxf>
    <dxf>
      <font>
        <strike val="0"/>
        <outline val="0"/>
        <shadow val="0"/>
        <u val="none"/>
        <sz val="11"/>
        <color auto="1"/>
        <name val="Aptos Narrow"/>
        <family val="2"/>
        <scheme val="minor"/>
      </font>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sz val="11"/>
        <color auto="1"/>
        <name val="Aptos Narrow"/>
        <family val="2"/>
        <scheme val="minor"/>
      </font>
    </dxf>
    <dxf>
      <font>
        <strike val="0"/>
        <outline val="0"/>
        <shadow val="0"/>
        <u val="none"/>
        <vertAlign val="baseline"/>
        <sz val="11"/>
        <color theme="0"/>
        <name val="Aptos Narrow"/>
        <family val="2"/>
        <scheme val="minor"/>
      </font>
      <fill>
        <patternFill patternType="solid">
          <fgColor indexed="64"/>
          <bgColor rgb="FF7E9084"/>
        </patternFill>
      </fill>
    </dxf>
    <dxf>
      <numFmt numFmtId="0" formatCode="General"/>
      <fill>
        <patternFill patternType="none">
          <fgColor indexed="64"/>
          <bgColor auto="1"/>
        </patternFill>
      </fill>
      <border diagonalUp="0" diagonalDown="0">
        <left style="thin">
          <color indexed="64"/>
        </left>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0" hidden="0"/>
    </dxf>
    <dxf>
      <fill>
        <patternFill patternType="none">
          <fgColor indexed="64"/>
          <bgColor auto="1"/>
        </patternFill>
      </fill>
      <border diagonalUp="0" diagonalDown="0">
        <left/>
        <right style="thin">
          <color indexed="64"/>
        </right>
        <top style="thin">
          <color indexed="64"/>
        </top>
        <bottom style="thin">
          <color indexed="64"/>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font>
        <b val="0"/>
        <i val="0"/>
        <strike val="0"/>
        <condense val="0"/>
        <extend val="0"/>
        <outline val="0"/>
        <shadow val="0"/>
        <u val="none"/>
        <vertAlign val="baseline"/>
        <sz val="11"/>
        <color theme="0"/>
        <name val="Aptos Narrow"/>
        <family val="2"/>
        <scheme val="minor"/>
      </font>
      <fill>
        <patternFill patternType="solid">
          <fgColor indexed="64"/>
          <bgColor rgb="FF233F2B"/>
        </patternFill>
      </fill>
      <border diagonalUp="0" diagonalDown="0" outline="0">
        <left style="thin">
          <color indexed="64"/>
        </left>
        <right style="thin">
          <color indexed="64"/>
        </right>
        <top/>
        <bottom/>
      </border>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left/>
        <right style="thin">
          <color indexed="64"/>
        </right>
        <top style="thin">
          <color indexed="64"/>
        </top>
        <bottom style="thin">
          <color indexed="64"/>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font>
        <b val="0"/>
        <i val="0"/>
        <strike val="0"/>
        <condense val="0"/>
        <extend val="0"/>
        <outline val="0"/>
        <shadow val="0"/>
        <u val="none"/>
        <vertAlign val="baseline"/>
        <sz val="11"/>
        <color theme="0"/>
        <name val="Aptos Narrow"/>
        <family val="2"/>
        <scheme val="minor"/>
      </font>
      <fill>
        <patternFill patternType="solid">
          <fgColor indexed="64"/>
          <bgColor rgb="FF233F2B"/>
        </patternFill>
      </fill>
      <border diagonalUp="0" diagonalDown="0" outline="0">
        <left style="thin">
          <color indexed="64"/>
        </left>
        <right style="thin">
          <color indexed="64"/>
        </right>
        <top/>
        <bottom/>
      </border>
    </dxf>
    <dxf>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solid">
          <fgColor indexed="64"/>
          <bgColor theme="9" tint="0.79998168889431442"/>
        </patternFill>
      </fill>
      <border diagonalUp="0" diagonalDown="0">
        <left style="thin">
          <color indexed="64"/>
        </left>
        <right/>
        <top style="thin">
          <color indexed="64"/>
        </top>
        <bottom style="thin">
          <color indexed="64"/>
        </bottom>
      </border>
    </dxf>
    <dxf>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ptos Narrow"/>
        <family val="2"/>
        <scheme val="minor"/>
      </font>
      <fill>
        <patternFill patternType="solid">
          <fgColor indexed="64"/>
          <bgColor rgb="FF233F2B"/>
        </patternFill>
      </fill>
      <border diagonalUp="0" diagonalDown="0" outline="0">
        <left style="thin">
          <color indexed="64"/>
        </left>
        <right style="thin">
          <color indexed="64"/>
        </right>
        <top/>
        <bottom/>
      </border>
    </dxf>
    <dxf>
      <numFmt numFmtId="0" formatCode="General"/>
      <fill>
        <patternFill>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ptos Narrow"/>
        <family val="2"/>
        <scheme val="minor"/>
      </font>
      <fill>
        <patternFill patternType="solid">
          <fgColor indexed="64"/>
          <bgColor rgb="FF233F2B"/>
        </patternFill>
      </fill>
      <border diagonalUp="0" diagonalDown="0" outline="0">
        <left style="thin">
          <color indexed="64"/>
        </left>
        <right style="thin">
          <color indexed="64"/>
        </right>
        <top/>
        <bottom/>
      </border>
    </dxf>
    <dxf>
      <numFmt numFmtId="0" formatCode="General"/>
      <fill>
        <patternFill patternType="solid">
          <fgColor indexed="64"/>
          <bgColor theme="9" tint="0.79998168889431442"/>
        </patternFill>
      </fill>
      <border diagonalUp="0" diagonalDown="0">
        <left style="thin">
          <color indexed="64"/>
        </left>
        <right/>
        <top style="thin">
          <color indexed="64"/>
        </top>
        <bottom style="thin">
          <color indexed="64"/>
        </bottom>
        <vertical/>
        <horizontal/>
      </border>
    </dxf>
    <dxf>
      <numFmt numFmtId="0" formatCode="General"/>
      <fill>
        <patternFill patternType="solid">
          <fgColor indexed="64"/>
          <bgColor rgb="FFD9E1DD"/>
        </patternFill>
      </fill>
      <border diagonalUp="0" diagonalDown="0">
        <left style="thin">
          <color indexed="64"/>
        </left>
        <right/>
        <top style="thin">
          <color indexed="64"/>
        </top>
        <bottom style="thin">
          <color indexed="64"/>
        </bottom>
        <vertical/>
        <horizontal/>
      </border>
      <protection locked="1" hidden="0"/>
    </dxf>
    <dxf>
      <fill>
        <patternFill patternType="solid">
          <fgColor indexed="64"/>
          <bgColor rgb="FFD9E1DD"/>
        </patternFill>
      </fill>
      <border diagonalUp="0" diagonalDown="0">
        <left style="thin">
          <color indexed="64"/>
        </left>
        <right/>
        <top style="thin">
          <color indexed="64"/>
        </top>
        <bottom style="thin">
          <color indexed="64"/>
        </bottom>
        <vertical/>
        <horizontal/>
      </border>
      <protection locked="0" hidden="0"/>
    </dxf>
    <dxf>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9"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border outline="0">
        <left style="medium">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0"/>
        <name val="Aptos Narrow"/>
        <family val="2"/>
        <scheme val="minor"/>
      </font>
      <fill>
        <patternFill patternType="solid">
          <fgColor indexed="64"/>
          <bgColor rgb="FF233F2B"/>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9" tint="0.79998168889431442"/>
        </patternFill>
      </fill>
      <border diagonalUp="0" diagonalDown="0">
        <left style="thin">
          <color indexed="64"/>
        </left>
        <right/>
        <top style="thin">
          <color indexed="64"/>
        </top>
        <bottom style="thin">
          <color indexed="64"/>
        </bottom>
        <vertical/>
        <horizontal/>
      </border>
    </dxf>
    <dxf>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9"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ptos Narrow"/>
        <family val="2"/>
        <scheme val="minor"/>
      </font>
      <fill>
        <patternFill patternType="solid">
          <fgColor indexed="64"/>
          <bgColor rgb="FF233F2B"/>
        </patternFill>
      </fill>
      <alignment horizontal="general" vertical="bottom" textRotation="0" wrapText="1" indent="0" justifyLastLine="0" shrinkToFit="0" readingOrder="0"/>
      <border diagonalUp="0" diagonalDown="0" outline="0">
        <left style="thin">
          <color indexed="64"/>
        </left>
        <right style="thin">
          <color indexed="64"/>
        </right>
        <top/>
        <bottom/>
      </border>
    </dxf>
    <dxf>
      <numFmt numFmtId="35" formatCode="_(* #,##0.00_);_(* \(#,##0.00\);_(* &quot;-&quot;??_);_(@_)"/>
      <border diagonalUp="0" diagonalDown="0">
        <left style="thin">
          <color indexed="64"/>
        </left>
        <right/>
        <top style="thin">
          <color indexed="64"/>
        </top>
        <bottom style="thin">
          <color indexed="64"/>
        </bottom>
        <vertical/>
        <horizontal/>
      </border>
      <protection locked="1" hidden="0"/>
    </dxf>
    <dxf>
      <numFmt numFmtId="0" formatCode="General"/>
      <border diagonalUp="0" diagonalDown="0">
        <left style="thin">
          <color indexed="64"/>
        </left>
        <right/>
        <top style="thin">
          <color indexed="64"/>
        </top>
        <bottom style="thin">
          <color indexed="64"/>
        </bottom>
        <vertical/>
        <horizontal/>
      </border>
      <protection locked="1" hidden="0"/>
    </dxf>
    <dxf>
      <numFmt numFmtId="0" formatCode="General"/>
      <border diagonalUp="0" diagonalDown="0">
        <left style="thin">
          <color indexed="64"/>
        </left>
        <right style="thin">
          <color indexed="64"/>
        </right>
        <top style="thin">
          <color indexed="64"/>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1" hidden="0"/>
    </dxf>
    <dxf>
      <numFmt numFmtId="0" formatCode="General"/>
      <border diagonalUp="0" diagonalDown="0">
        <left style="thin">
          <color indexed="64"/>
        </left>
        <right style="thin">
          <color indexed="64"/>
        </right>
        <top style="thin">
          <color indexed="64"/>
        </top>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sz val="11"/>
        <color theme="0"/>
        <name val="Aptos Narrow"/>
        <family val="2"/>
        <scheme val="minor"/>
      </font>
      <fill>
        <patternFill patternType="solid">
          <fgColor indexed="64"/>
          <bgColor rgb="FF233F2B"/>
        </patternFill>
      </fill>
      <alignment horizontal="center" vertical="bottom"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9E1DD"/>
      <color rgb="FF7E9084"/>
      <color rgb="FF233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dec.ny.gov/environmental-protection/air-quality/mandatory-greenhouse-gas-reporting"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https://dec.ny.gov/environmental-protection/air-quality/mandatory-greenhouse-gas-reporting"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https://dec.ny.gov/environmental-protection/air-quality/mandatory-greenhouse-gas-reporti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dec.ny.gov/environmental-protection/air-quality/mandatory-greenhouse-gas-reporting"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https://dec.ny.gov/environmental-protection/air-quality/mandatory-greenhouse-gas-reporting" TargetMode="External"/><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s://dec.ny.gov/environmental-protection/air-quality/mandatory-greenhouse-gas-reporting"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dec.ny.gov/environmental-protection/air-quality/mandatory-greenhouse-gas-reporting"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s://dec.ny.gov/environmental-protection/air-quality/mandatory-greenhouse-gas-reporting"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dec.ny.gov/environmental-protection/air-quality/mandatory-greenhouse-gas-reporting"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https://dec.ny.gov/environmental-protection/air-quality/mandatory-greenhouse-gas-reporting"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https://dec.ny.gov/environmental-protection/air-quality/mandatory-greenhouse-gas-reporti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62865</xdr:colOff>
      <xdr:row>0</xdr:row>
      <xdr:rowOff>76200</xdr:rowOff>
    </xdr:from>
    <xdr:to>
      <xdr:col>2</xdr:col>
      <xdr:colOff>483870</xdr:colOff>
      <xdr:row>0</xdr:row>
      <xdr:rowOff>628962</xdr:rowOff>
    </xdr:to>
    <xdr:pic>
      <xdr:nvPicPr>
        <xdr:cNvPr id="3" name="Picture 2">
          <a:hlinkClick xmlns:r="http://schemas.openxmlformats.org/officeDocument/2006/relationships" r:id="rId1"/>
          <a:extLst>
            <a:ext uri="{FF2B5EF4-FFF2-40B4-BE49-F238E27FC236}">
              <a16:creationId xmlns:a16="http://schemas.microsoft.com/office/drawing/2014/main" id="{13805F41-1C56-0F3C-6393-9EB30885AF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 y="76200"/>
          <a:ext cx="1784985" cy="5489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xdr:colOff>
      <xdr:row>0</xdr:row>
      <xdr:rowOff>99060</xdr:rowOff>
    </xdr:from>
    <xdr:to>
      <xdr:col>1</xdr:col>
      <xdr:colOff>1172110</xdr:colOff>
      <xdr:row>0</xdr:row>
      <xdr:rowOff>647748</xdr:rowOff>
    </xdr:to>
    <xdr:pic>
      <xdr:nvPicPr>
        <xdr:cNvPr id="3" name="Picture 2">
          <a:hlinkClick xmlns:r="http://schemas.openxmlformats.org/officeDocument/2006/relationships" r:id="rId1"/>
          <a:extLst>
            <a:ext uri="{FF2B5EF4-FFF2-40B4-BE49-F238E27FC236}">
              <a16:creationId xmlns:a16="http://schemas.microsoft.com/office/drawing/2014/main" id="{9FF76805-A5D9-59A5-DD21-0DCC213F87CC}"/>
            </a:ext>
          </a:extLst>
        </xdr:cNvPr>
        <xdr:cNvPicPr>
          <a:picLocks noChangeAspect="1"/>
        </xdr:cNvPicPr>
      </xdr:nvPicPr>
      <xdr:blipFill>
        <a:blip xmlns:r="http://schemas.openxmlformats.org/officeDocument/2006/relationships" r:embed="rId2"/>
        <a:stretch>
          <a:fillRect/>
        </a:stretch>
      </xdr:blipFill>
      <xdr:spPr>
        <a:xfrm>
          <a:off x="7620" y="99060"/>
          <a:ext cx="1774090" cy="5486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873529</xdr:colOff>
      <xdr:row>0</xdr:row>
      <xdr:rowOff>627057</xdr:rowOff>
    </xdr:to>
    <xdr:pic>
      <xdr:nvPicPr>
        <xdr:cNvPr id="7" name="Picture 1">
          <a:hlinkClick xmlns:r="http://schemas.openxmlformats.org/officeDocument/2006/relationships" r:id="rId1"/>
          <a:extLst>
            <a:ext uri="{FF2B5EF4-FFF2-40B4-BE49-F238E27FC236}">
              <a16:creationId xmlns:a16="http://schemas.microsoft.com/office/drawing/2014/main" id="{C8175BEB-5E4A-4E46-AB2A-3361D511D9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85725"/>
          <a:ext cx="1779270" cy="552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93345</xdr:colOff>
      <xdr:row>0</xdr:row>
      <xdr:rowOff>74295</xdr:rowOff>
    </xdr:from>
    <xdr:to>
      <xdr:col>1</xdr:col>
      <xdr:colOff>377190</xdr:colOff>
      <xdr:row>0</xdr:row>
      <xdr:rowOff>644202</xdr:rowOff>
    </xdr:to>
    <xdr:pic>
      <xdr:nvPicPr>
        <xdr:cNvPr id="2" name="Picture 1">
          <a:hlinkClick xmlns:r="http://schemas.openxmlformats.org/officeDocument/2006/relationships" r:id="rId1"/>
          <a:extLst>
            <a:ext uri="{FF2B5EF4-FFF2-40B4-BE49-F238E27FC236}">
              <a16:creationId xmlns:a16="http://schemas.microsoft.com/office/drawing/2014/main" id="{55731915-77BA-41C0-BB05-865C87587D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345" y="74295"/>
          <a:ext cx="1779270" cy="5603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820016</xdr:colOff>
      <xdr:row>14</xdr:row>
      <xdr:rowOff>142009</xdr:rowOff>
    </xdr:from>
    <xdr:to>
      <xdr:col>1</xdr:col>
      <xdr:colOff>2266950</xdr:colOff>
      <xdr:row>15</xdr:row>
      <xdr:rowOff>46759</xdr:rowOff>
    </xdr:to>
    <xdr:pic>
      <xdr:nvPicPr>
        <xdr:cNvPr id="2" name="Picture 1">
          <a:extLst>
            <a:ext uri="{FF2B5EF4-FFF2-40B4-BE49-F238E27FC236}">
              <a16:creationId xmlns:a16="http://schemas.microsoft.com/office/drawing/2014/main" id="{EBE97E14-8879-F3D5-27B7-FF32C6941742}"/>
            </a:ext>
            <a:ext uri="{147F2762-F138-4A5C-976F-8EAC2B608ADB}">
              <a16:predDERef xmlns:a16="http://schemas.microsoft.com/office/drawing/2014/main" pred="{D9C9EEAE-5DE7-39A2-4A2E-FC99F5EA06DF}"/>
            </a:ext>
          </a:extLst>
        </xdr:cNvPr>
        <xdr:cNvPicPr>
          <a:picLocks noChangeAspect="1"/>
        </xdr:cNvPicPr>
      </xdr:nvPicPr>
      <xdr:blipFill>
        <a:blip xmlns:r="http://schemas.openxmlformats.org/officeDocument/2006/relationships" r:embed="rId1"/>
        <a:stretch>
          <a:fillRect/>
        </a:stretch>
      </xdr:blipFill>
      <xdr:spPr>
        <a:xfrm>
          <a:off x="820016" y="4284518"/>
          <a:ext cx="2894734" cy="285750"/>
        </a:xfrm>
        <a:prstGeom prst="rect">
          <a:avLst/>
        </a:prstGeom>
      </xdr:spPr>
    </xdr:pic>
    <xdr:clientData/>
  </xdr:twoCellAnchor>
  <xdr:twoCellAnchor editAs="oneCell">
    <xdr:from>
      <xdr:col>0</xdr:col>
      <xdr:colOff>72390</xdr:colOff>
      <xdr:row>0</xdr:row>
      <xdr:rowOff>76200</xdr:rowOff>
    </xdr:from>
    <xdr:to>
      <xdr:col>1</xdr:col>
      <xdr:colOff>398145</xdr:colOff>
      <xdr:row>0</xdr:row>
      <xdr:rowOff>625152</xdr:rowOff>
    </xdr:to>
    <xdr:pic>
      <xdr:nvPicPr>
        <xdr:cNvPr id="3" name="Picture 2">
          <a:hlinkClick xmlns:r="http://schemas.openxmlformats.org/officeDocument/2006/relationships" r:id="rId2"/>
          <a:extLst>
            <a:ext uri="{FF2B5EF4-FFF2-40B4-BE49-F238E27FC236}">
              <a16:creationId xmlns:a16="http://schemas.microsoft.com/office/drawing/2014/main" id="{4FD37B59-E00C-40EF-80D6-55F356442F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90" y="76200"/>
          <a:ext cx="1784985" cy="548952"/>
        </a:xfrm>
        <a:prstGeom prst="rect">
          <a:avLst/>
        </a:prstGeom>
      </xdr:spPr>
    </xdr:pic>
    <xdr:clientData/>
  </xdr:twoCellAnchor>
  <xdr:twoCellAnchor>
    <xdr:from>
      <xdr:col>3</xdr:col>
      <xdr:colOff>138549</xdr:colOff>
      <xdr:row>26</xdr:row>
      <xdr:rowOff>34637</xdr:rowOff>
    </xdr:from>
    <xdr:to>
      <xdr:col>7</xdr:col>
      <xdr:colOff>554183</xdr:colOff>
      <xdr:row>38</xdr:row>
      <xdr:rowOff>69275</xdr:rowOff>
    </xdr:to>
    <mc:AlternateContent xmlns:mc="http://schemas.openxmlformats.org/markup-compatibility/2006" xmlns:a14="http://schemas.microsoft.com/office/drawing/2010/main">
      <mc:Choice Requires="a14">
        <xdr:sp macro="" textlink="">
          <xdr:nvSpPr>
            <xdr:cNvPr id="6" name="TextBox 4">
              <a:extLst>
                <a:ext uri="{FF2B5EF4-FFF2-40B4-BE49-F238E27FC236}">
                  <a16:creationId xmlns:a16="http://schemas.microsoft.com/office/drawing/2014/main" id="{1B396B5D-A81A-4D95-ACF9-A4D670BD9739}"/>
                </a:ext>
              </a:extLst>
            </xdr:cNvPr>
            <xdr:cNvSpPr txBox="1"/>
          </xdr:nvSpPr>
          <xdr:spPr>
            <a:xfrm>
              <a:off x="5334004" y="7161069"/>
              <a:ext cx="4753838" cy="2320638"/>
            </a:xfrm>
            <a:prstGeom prst="rect">
              <a:avLst/>
            </a:prstGeom>
            <a:solidFill>
              <a:srgbClr val="D9E1DD"/>
            </a:solidFill>
            <a:ln w="1270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left"/>
                  </m:oMathParaPr>
                  <m:oMath xmlns:m="http://schemas.openxmlformats.org/officeDocument/2006/math">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𝐺</m:t>
                        </m:r>
                      </m:e>
                      <m:sub>
                        <m:r>
                          <a:rPr lang="x-IV_mathan" sz="1100">
                            <a:solidFill>
                              <a:schemeClr val="dk1"/>
                            </a:solidFill>
                            <a:effectLst/>
                            <a:latin typeface="Cambria Math" panose="02040503050406030204" pitchFamily="18" charset="0"/>
                            <a:ea typeface="+mn-ea"/>
                            <a:cs typeface="+mn-cs"/>
                          </a:rPr>
                          <m:t>𝐶𝐻</m:t>
                        </m:r>
                        <m:r>
                          <a:rPr lang="x-IV_mathan" sz="1100">
                            <a:solidFill>
                              <a:schemeClr val="dk1"/>
                            </a:solidFill>
                            <a:effectLst/>
                            <a:latin typeface="Cambria Math" panose="02040503050406030204" pitchFamily="18" charset="0"/>
                            <a:ea typeface="+mn-ea"/>
                            <a:cs typeface="+mn-cs"/>
                          </a:rPr>
                          <m:t>4</m:t>
                        </m:r>
                      </m:sub>
                    </m:sSub>
                    <m:r>
                      <a:rPr lang="x-IV_mathan" sz="1100">
                        <a:solidFill>
                          <a:schemeClr val="dk1"/>
                        </a:solidFill>
                        <a:effectLst/>
                        <a:latin typeface="Cambria Math" panose="02040503050406030204" pitchFamily="18" charset="0"/>
                        <a:ea typeface="+mn-ea"/>
                        <a:cs typeface="+mn-cs"/>
                      </a:rPr>
                      <m:t>=</m:t>
                    </m:r>
                    <m:nary>
                      <m:naryPr>
                        <m:chr m:val="∑"/>
                        <m:ctrlPr>
                          <a:rPr lang="x-IV_mathan" sz="1100" i="1">
                            <a:solidFill>
                              <a:schemeClr val="dk1"/>
                            </a:solidFill>
                            <a:effectLst/>
                            <a:latin typeface="Cambria Math" panose="02040503050406030204" pitchFamily="18" charset="0"/>
                            <a:ea typeface="+mn-ea"/>
                            <a:cs typeface="+mn-cs"/>
                          </a:rPr>
                        </m:ctrlPr>
                      </m:naryPr>
                      <m:sub>
                        <m:r>
                          <a:rPr lang="x-IV_mathan" sz="1100">
                            <a:solidFill>
                              <a:schemeClr val="dk1"/>
                            </a:solidFill>
                            <a:effectLst/>
                            <a:latin typeface="Cambria Math" panose="02040503050406030204" pitchFamily="18" charset="0"/>
                            <a:ea typeface="+mn-ea"/>
                            <a:cs typeface="+mn-cs"/>
                          </a:rPr>
                          <m:t>𝑥</m:t>
                        </m:r>
                        <m:r>
                          <a:rPr lang="x-IV_mathan" sz="1100">
                            <a:solidFill>
                              <a:schemeClr val="dk1"/>
                            </a:solidFill>
                            <a:effectLst/>
                            <a:latin typeface="Cambria Math" panose="02040503050406030204" pitchFamily="18" charset="0"/>
                            <a:ea typeface="+mn-ea"/>
                            <a:cs typeface="+mn-cs"/>
                          </a:rPr>
                          <m:t>=1960</m:t>
                        </m:r>
                      </m:sub>
                      <m:sup>
                        <m:r>
                          <a:rPr lang="x-IV_mathan" sz="1100">
                            <a:solidFill>
                              <a:schemeClr val="dk1"/>
                            </a:solidFill>
                            <a:effectLst/>
                            <a:latin typeface="Cambria Math" panose="02040503050406030204" pitchFamily="18" charset="0"/>
                            <a:ea typeface="+mn-ea"/>
                            <a:cs typeface="+mn-cs"/>
                          </a:rPr>
                          <m:t>𝑇</m:t>
                        </m:r>
                        <m:r>
                          <a:rPr lang="x-IV_mathan" sz="1100">
                            <a:solidFill>
                              <a:schemeClr val="dk1"/>
                            </a:solidFill>
                            <a:effectLst/>
                            <a:latin typeface="Cambria Math" panose="02040503050406030204" pitchFamily="18" charset="0"/>
                            <a:ea typeface="+mn-ea"/>
                            <a:cs typeface="+mn-cs"/>
                          </a:rPr>
                          <m:t>−1</m:t>
                        </m:r>
                      </m:sup>
                      <m:e>
                        <m:d>
                          <m:dPr>
                            <m:ctrlPr>
                              <a:rPr lang="x-IV_mathan" sz="1100" i="1">
                                <a:solidFill>
                                  <a:schemeClr val="dk1"/>
                                </a:solidFill>
                                <a:effectLst/>
                                <a:latin typeface="Cambria Math" panose="02040503050406030204" pitchFamily="18" charset="0"/>
                                <a:ea typeface="+mn-ea"/>
                                <a:cs typeface="+mn-cs"/>
                              </a:rPr>
                            </m:ctrlPr>
                          </m:dPr>
                          <m:e>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𝑊</m:t>
                                </m:r>
                              </m:e>
                              <m:sub>
                                <m:r>
                                  <a:rPr lang="x-IV_mathan" sz="1100">
                                    <a:solidFill>
                                      <a:schemeClr val="dk1"/>
                                    </a:solidFill>
                                    <a:effectLst/>
                                    <a:latin typeface="Cambria Math" panose="02040503050406030204" pitchFamily="18" charset="0"/>
                                    <a:ea typeface="+mn-ea"/>
                                    <a:cs typeface="+mn-cs"/>
                                  </a:rPr>
                                  <m:t>𝑥</m:t>
                                </m:r>
                              </m:sub>
                            </m:sSub>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𝐷𝑂</m:t>
                            </m:r>
                            <m:r>
                              <m:rPr>
                                <m:sty m:val="p"/>
                              </m:rPr>
                              <a:rPr lang="en-US" sz="1100" b="0" i="0">
                                <a:solidFill>
                                  <a:schemeClr val="dk1"/>
                                </a:solidFill>
                                <a:effectLst/>
                                <a:latin typeface="Cambria Math" panose="02040503050406030204" pitchFamily="18" charset="0"/>
                                <a:ea typeface="+mn-ea"/>
                                <a:cs typeface="+mn-cs"/>
                              </a:rPr>
                              <m:t>C</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𝑀𝐶𝐹</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𝐷𝑂</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𝐶</m:t>
                                </m:r>
                              </m:e>
                              <m:sub>
                                <m:r>
                                  <a:rPr lang="x-IV_mathan" sz="1100">
                                    <a:solidFill>
                                      <a:schemeClr val="dk1"/>
                                    </a:solidFill>
                                    <a:effectLst/>
                                    <a:latin typeface="Cambria Math" panose="02040503050406030204" pitchFamily="18" charset="0"/>
                                    <a:ea typeface="+mn-ea"/>
                                    <a:cs typeface="+mn-cs"/>
                                  </a:rPr>
                                  <m:t>𝐹</m:t>
                                </m:r>
                              </m:sub>
                            </m:sSub>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𝐹</m:t>
                            </m:r>
                            <m:r>
                              <a:rPr lang="x-IV_mathan" sz="1100">
                                <a:solidFill>
                                  <a:schemeClr val="dk1"/>
                                </a:solidFill>
                                <a:effectLst/>
                                <a:latin typeface="Cambria Math" panose="02040503050406030204" pitchFamily="18" charset="0"/>
                                <a:ea typeface="+mn-ea"/>
                                <a:cs typeface="+mn-cs"/>
                              </a:rPr>
                              <m:t>∗</m:t>
                            </m:r>
                            <m:f>
                              <m:fPr>
                                <m:ctrlPr>
                                  <a:rPr lang="x-IV_mathan" sz="1100" i="1">
                                    <a:solidFill>
                                      <a:schemeClr val="dk1"/>
                                    </a:solidFill>
                                    <a:effectLst/>
                                    <a:latin typeface="Cambria Math" panose="02040503050406030204" pitchFamily="18" charset="0"/>
                                    <a:ea typeface="+mn-ea"/>
                                    <a:cs typeface="+mn-cs"/>
                                  </a:rPr>
                                </m:ctrlPr>
                              </m:fPr>
                              <m:num>
                                <m:r>
                                  <a:rPr lang="x-IV_mathan" sz="1100">
                                    <a:solidFill>
                                      <a:schemeClr val="dk1"/>
                                    </a:solidFill>
                                    <a:effectLst/>
                                    <a:latin typeface="Cambria Math" panose="02040503050406030204" pitchFamily="18" charset="0"/>
                                    <a:ea typeface="+mn-ea"/>
                                    <a:cs typeface="+mn-cs"/>
                                  </a:rPr>
                                  <m:t>16</m:t>
                                </m:r>
                              </m:num>
                              <m:den>
                                <m:r>
                                  <a:rPr lang="x-IV_mathan" sz="1100">
                                    <a:solidFill>
                                      <a:schemeClr val="dk1"/>
                                    </a:solidFill>
                                    <a:effectLst/>
                                    <a:latin typeface="Cambria Math" panose="02040503050406030204" pitchFamily="18" charset="0"/>
                                    <a:ea typeface="+mn-ea"/>
                                    <a:cs typeface="+mn-cs"/>
                                  </a:rPr>
                                  <m:t>12</m:t>
                                </m:r>
                              </m:den>
                            </m:f>
                            <m:r>
                              <a:rPr lang="x-IV_mathan" sz="1100">
                                <a:solidFill>
                                  <a:schemeClr val="dk1"/>
                                </a:solidFill>
                                <a:effectLst/>
                                <a:latin typeface="Cambria Math" panose="02040503050406030204" pitchFamily="18" charset="0"/>
                                <a:ea typeface="+mn-ea"/>
                                <a:cs typeface="+mn-cs"/>
                              </a:rPr>
                              <m:t>∗</m:t>
                            </m:r>
                            <m:d>
                              <m:dPr>
                                <m:ctrlPr>
                                  <a:rPr lang="x-IV_mathan" sz="1100" i="1">
                                    <a:solidFill>
                                      <a:schemeClr val="dk1"/>
                                    </a:solidFill>
                                    <a:effectLst/>
                                    <a:latin typeface="Cambria Math" panose="02040503050406030204" pitchFamily="18" charset="0"/>
                                    <a:ea typeface="+mn-ea"/>
                                    <a:cs typeface="+mn-cs"/>
                                  </a:rPr>
                                </m:ctrlPr>
                              </m:dPr>
                              <m:e>
                                <m:sSup>
                                  <m:sSupPr>
                                    <m:ctrlPr>
                                      <a:rPr lang="x-IV_mathan" sz="1100" i="1">
                                        <a:solidFill>
                                          <a:schemeClr val="dk1"/>
                                        </a:solidFill>
                                        <a:effectLst/>
                                        <a:latin typeface="Cambria Math" panose="02040503050406030204" pitchFamily="18" charset="0"/>
                                        <a:ea typeface="+mn-ea"/>
                                        <a:cs typeface="+mn-cs"/>
                                      </a:rPr>
                                    </m:ctrlPr>
                                  </m:sSupPr>
                                  <m:e>
                                    <m:r>
                                      <a:rPr lang="x-IV_mathan" sz="1100">
                                        <a:solidFill>
                                          <a:schemeClr val="dk1"/>
                                        </a:solidFill>
                                        <a:effectLst/>
                                        <a:latin typeface="Cambria Math" panose="02040503050406030204" pitchFamily="18" charset="0"/>
                                        <a:ea typeface="+mn-ea"/>
                                        <a:cs typeface="+mn-cs"/>
                                      </a:rPr>
                                      <m:t>𝑒</m:t>
                                    </m:r>
                                  </m:e>
                                  <m:sup>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𝑘</m:t>
                                    </m:r>
                                    <m:d>
                                      <m:dPr>
                                        <m:ctrlPr>
                                          <a:rPr lang="x-IV_mathan" sz="1100" i="1">
                                            <a:solidFill>
                                              <a:schemeClr val="dk1"/>
                                            </a:solidFill>
                                            <a:effectLst/>
                                            <a:latin typeface="Cambria Math" panose="02040503050406030204" pitchFamily="18" charset="0"/>
                                            <a:ea typeface="+mn-ea"/>
                                            <a:cs typeface="+mn-cs"/>
                                          </a:rPr>
                                        </m:ctrlPr>
                                      </m:dPr>
                                      <m:e>
                                        <m:r>
                                          <a:rPr lang="x-IV_mathan" sz="1100">
                                            <a:solidFill>
                                              <a:schemeClr val="dk1"/>
                                            </a:solidFill>
                                            <a:effectLst/>
                                            <a:latin typeface="Cambria Math" panose="02040503050406030204" pitchFamily="18" charset="0"/>
                                            <a:ea typeface="+mn-ea"/>
                                            <a:cs typeface="+mn-cs"/>
                                          </a:rPr>
                                          <m:t>𝑇</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𝑥</m:t>
                                        </m:r>
                                        <m:r>
                                          <a:rPr lang="x-IV_mathan" sz="1100">
                                            <a:solidFill>
                                              <a:schemeClr val="dk1"/>
                                            </a:solidFill>
                                            <a:effectLst/>
                                            <a:latin typeface="Cambria Math" panose="02040503050406030204" pitchFamily="18" charset="0"/>
                                            <a:ea typeface="+mn-ea"/>
                                            <a:cs typeface="+mn-cs"/>
                                          </a:rPr>
                                          <m:t>−1</m:t>
                                        </m:r>
                                      </m:e>
                                    </m:d>
                                  </m:sup>
                                </m:sSup>
                                <m:r>
                                  <a:rPr lang="x-IV_mathan" sz="1100">
                                    <a:solidFill>
                                      <a:schemeClr val="dk1"/>
                                    </a:solidFill>
                                    <a:effectLst/>
                                    <a:latin typeface="Cambria Math" panose="02040503050406030204" pitchFamily="18" charset="0"/>
                                    <a:ea typeface="+mn-ea"/>
                                    <a:cs typeface="+mn-cs"/>
                                  </a:rPr>
                                  <m:t>−</m:t>
                                </m:r>
                                <m:sSup>
                                  <m:sSupPr>
                                    <m:ctrlPr>
                                      <a:rPr lang="x-IV_mathan" sz="1100" i="1">
                                        <a:solidFill>
                                          <a:schemeClr val="dk1"/>
                                        </a:solidFill>
                                        <a:effectLst/>
                                        <a:latin typeface="Cambria Math" panose="02040503050406030204" pitchFamily="18" charset="0"/>
                                        <a:ea typeface="+mn-ea"/>
                                        <a:cs typeface="+mn-cs"/>
                                      </a:rPr>
                                    </m:ctrlPr>
                                  </m:sSupPr>
                                  <m:e>
                                    <m:r>
                                      <a:rPr lang="x-IV_mathan" sz="1100">
                                        <a:solidFill>
                                          <a:schemeClr val="dk1"/>
                                        </a:solidFill>
                                        <a:effectLst/>
                                        <a:latin typeface="Cambria Math" panose="02040503050406030204" pitchFamily="18" charset="0"/>
                                        <a:ea typeface="+mn-ea"/>
                                        <a:cs typeface="+mn-cs"/>
                                      </a:rPr>
                                      <m:t>𝑒</m:t>
                                    </m:r>
                                  </m:e>
                                  <m:sup>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𝑘</m:t>
                                    </m:r>
                                    <m:d>
                                      <m:dPr>
                                        <m:ctrlPr>
                                          <a:rPr lang="x-IV_mathan" sz="1100" i="1">
                                            <a:solidFill>
                                              <a:schemeClr val="dk1"/>
                                            </a:solidFill>
                                            <a:effectLst/>
                                            <a:latin typeface="Cambria Math" panose="02040503050406030204" pitchFamily="18" charset="0"/>
                                            <a:ea typeface="+mn-ea"/>
                                            <a:cs typeface="+mn-cs"/>
                                          </a:rPr>
                                        </m:ctrlPr>
                                      </m:dPr>
                                      <m:e>
                                        <m:r>
                                          <a:rPr lang="x-IV_mathan" sz="1100">
                                            <a:solidFill>
                                              <a:schemeClr val="dk1"/>
                                            </a:solidFill>
                                            <a:effectLst/>
                                            <a:latin typeface="Cambria Math" panose="02040503050406030204" pitchFamily="18" charset="0"/>
                                            <a:ea typeface="+mn-ea"/>
                                            <a:cs typeface="+mn-cs"/>
                                          </a:rPr>
                                          <m:t>𝑇</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𝑥</m:t>
                                        </m:r>
                                      </m:e>
                                    </m:d>
                                  </m:sup>
                                </m:sSup>
                              </m:e>
                            </m:d>
                          </m:e>
                        </m:d>
                      </m:e>
                    </m:nary>
                  </m:oMath>
                </m:oMathPara>
              </a14:m>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a:p>
              <a:pPr algn="l"/>
              <a:r>
                <a:rPr lang="x-IV_mathan" sz="1100">
                  <a:solidFill>
                    <a:schemeClr val="dk1"/>
                  </a:solidFill>
                  <a:effectLst/>
                  <a:latin typeface="+mn-lt"/>
                  <a:ea typeface="+mn-ea"/>
                  <a:cs typeface="+mn-cs"/>
                </a:rPr>
                <a:t>G</a:t>
              </a:r>
              <a:r>
                <a:rPr lang="x-IV_mathan" sz="1100" baseline="-25000">
                  <a:solidFill>
                    <a:schemeClr val="dk1"/>
                  </a:solidFill>
                  <a:effectLst/>
                  <a:latin typeface="+mn-lt"/>
                  <a:ea typeface="+mn-ea"/>
                  <a:cs typeface="+mn-cs"/>
                </a:rPr>
                <a:t>CH4 </a:t>
              </a:r>
              <a:r>
                <a:rPr lang="x-IV_mathan" sz="1100" baseline="0">
                  <a:solidFill>
                    <a:schemeClr val="dk1"/>
                  </a:solidFill>
                  <a:effectLst/>
                  <a:latin typeface="+mn-lt"/>
                  <a:ea typeface="+mn-ea"/>
                  <a:cs typeface="+mn-cs"/>
                </a:rPr>
                <a:t>= Methane generation</a:t>
              </a:r>
            </a:p>
            <a:p>
              <a:pPr algn="l"/>
              <a:r>
                <a:rPr lang="" sz="1100" baseline="0">
                  <a:solidFill>
                    <a:schemeClr val="dk1"/>
                  </a:solidFill>
                  <a:effectLst/>
                  <a:latin typeface="+mn-lt"/>
                  <a:ea typeface="+mn-ea"/>
                  <a:cs typeface="+mn-cs"/>
                </a:rPr>
                <a:t>T = year of emissions calculation</a:t>
              </a:r>
              <a:endParaRPr lang="x-IV_mathan" sz="1100" baseline="0">
                <a:solidFill>
                  <a:schemeClr val="dk1"/>
                </a:solidFill>
                <a:effectLst/>
                <a:latin typeface="+mn-lt"/>
                <a:ea typeface="+mn-ea"/>
                <a:cs typeface="+mn-cs"/>
              </a:endParaRPr>
            </a:p>
            <a:p>
              <a:pPr algn="l"/>
              <a:r>
                <a:rPr lang="" sz="1100" baseline="0">
                  <a:solidFill>
                    <a:schemeClr val="dk1"/>
                  </a:solidFill>
                  <a:effectLst/>
                  <a:latin typeface="+mn-lt"/>
                  <a:ea typeface="+mn-ea"/>
                  <a:cs typeface="+mn-cs"/>
                </a:rPr>
                <a:t>Wx = Waste placed disposed in year x</a:t>
              </a:r>
            </a:p>
            <a:p>
              <a:pPr algn="l"/>
              <a:r>
                <a:rPr lang="" sz="1100" baseline="0">
                  <a:solidFill>
                    <a:schemeClr val="dk1"/>
                  </a:solidFill>
                  <a:effectLst/>
                  <a:latin typeface="+mn-lt"/>
                  <a:ea typeface="+mn-ea"/>
                  <a:cs typeface="+mn-cs"/>
                </a:rPr>
                <a:t>DOC = Degradable organic carbon for waste (default value of 0.22)</a:t>
              </a:r>
              <a:endParaRPr lang="x-IV_mathan" sz="1100" baseline="0">
                <a:solidFill>
                  <a:schemeClr val="dk1"/>
                </a:solidFill>
                <a:effectLst/>
                <a:latin typeface="+mn-lt"/>
                <a:ea typeface="+mn-ea"/>
                <a:cs typeface="+mn-cs"/>
              </a:endParaRPr>
            </a:p>
            <a:p>
              <a:pPr algn="l"/>
              <a:r>
                <a:rPr lang="x-IV_mathan" sz="1100">
                  <a:solidFill>
                    <a:schemeClr val="dk1"/>
                  </a:solidFill>
                  <a:effectLst/>
                  <a:latin typeface="+mn-lt"/>
                  <a:ea typeface="+mn-ea"/>
                  <a:cs typeface="+mn-cs"/>
                </a:rPr>
                <a:t>MCF = Methane</a:t>
              </a:r>
              <a:r>
                <a:rPr lang="x-IV_mathan" sz="1100" baseline="0">
                  <a:solidFill>
                    <a:schemeClr val="dk1"/>
                  </a:solidFill>
                  <a:effectLst/>
                  <a:latin typeface="+mn-lt"/>
                  <a:ea typeface="+mn-ea"/>
                  <a:cs typeface="+mn-cs"/>
                </a:rPr>
                <a:t> correction factor (default value of 1)</a:t>
              </a:r>
            </a:p>
            <a:p>
              <a:pPr algn="l"/>
              <a:r>
                <a:rPr lang="" sz="1100" baseline="0">
                  <a:solidFill>
                    <a:schemeClr val="dk1"/>
                  </a:solidFill>
                  <a:effectLst/>
                  <a:latin typeface="+mn-lt"/>
                  <a:ea typeface="+mn-ea"/>
                  <a:cs typeface="+mn-cs"/>
                </a:rPr>
                <a:t>DOC</a:t>
              </a:r>
              <a:r>
                <a:rPr lang="" sz="1100" baseline="-25000">
                  <a:solidFill>
                    <a:schemeClr val="dk1"/>
                  </a:solidFill>
                  <a:effectLst/>
                  <a:latin typeface="+mn-lt"/>
                  <a:ea typeface="+mn-ea"/>
                  <a:cs typeface="+mn-cs"/>
                </a:rPr>
                <a:t>F</a:t>
              </a:r>
              <a:r>
                <a:rPr lang="" sz="1100" baseline="0">
                  <a:solidFill>
                    <a:schemeClr val="dk1"/>
                  </a:solidFill>
                  <a:effectLst/>
                  <a:latin typeface="+mn-lt"/>
                  <a:ea typeface="+mn-ea"/>
                  <a:cs typeface="+mn-cs"/>
                </a:rPr>
                <a:t> = </a:t>
              </a:r>
              <a:r>
                <a:rPr lang="en-US" sz="1100" baseline="0">
                  <a:solidFill>
                    <a:schemeClr val="dk1"/>
                  </a:solidFill>
                  <a:effectLst/>
                  <a:latin typeface="+mn-lt"/>
                  <a:ea typeface="+mn-ea"/>
                  <a:cs typeface="+mn-cs"/>
                </a:rPr>
                <a:t>Fraction of DOC dissimilated (default value of 0.5)</a:t>
              </a:r>
            </a:p>
            <a:p>
              <a:pPr algn="l"/>
              <a:r>
                <a:rPr lang="en-US" sz="1100" baseline="0">
                  <a:solidFill>
                    <a:schemeClr val="dk1"/>
                  </a:solidFill>
                  <a:effectLst/>
                  <a:latin typeface="+mn-lt"/>
                  <a:ea typeface="+mn-ea"/>
                  <a:cs typeface="+mn-cs"/>
                </a:rPr>
                <a:t>F = fraction of methane in landfill gas</a:t>
              </a:r>
            </a:p>
            <a:p>
              <a:pPr algn="l"/>
              <a:r>
                <a:rPr lang="en-US" sz="1100" baseline="0">
                  <a:solidFill>
                    <a:schemeClr val="dk1"/>
                  </a:solidFill>
                  <a:effectLst/>
                  <a:latin typeface="+mn-lt"/>
                  <a:ea typeface="+mn-ea"/>
                  <a:cs typeface="+mn-cs"/>
                </a:rPr>
                <a:t>k = decay rate constant (default value for wet climates 0.038)</a:t>
              </a:r>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xdr:txBody>
        </xdr:sp>
      </mc:Choice>
      <mc:Fallback xmlns="">
        <xdr:sp macro="" textlink="">
          <xdr:nvSpPr>
            <xdr:cNvPr id="6" name="TextBox 4">
              <a:extLst>
                <a:ext uri="{FF2B5EF4-FFF2-40B4-BE49-F238E27FC236}">
                  <a16:creationId xmlns:a16="http://schemas.microsoft.com/office/drawing/2014/main" id="{1B396B5D-A81A-4D95-ACF9-A4D670BD9739}"/>
                </a:ext>
              </a:extLst>
            </xdr:cNvPr>
            <xdr:cNvSpPr txBox="1"/>
          </xdr:nvSpPr>
          <xdr:spPr>
            <a:xfrm>
              <a:off x="5334004" y="7161069"/>
              <a:ext cx="4753838" cy="2320638"/>
            </a:xfrm>
            <a:prstGeom prst="rect">
              <a:avLst/>
            </a:prstGeom>
            <a:solidFill>
              <a:srgbClr val="D9E1DD"/>
            </a:solidFill>
            <a:ln w="1270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x-IV_mathan" sz="1100" i="0">
                  <a:solidFill>
                    <a:schemeClr val="dk1"/>
                  </a:solidFill>
                  <a:effectLst/>
                  <a:latin typeface="Cambria Math" panose="02040503050406030204" pitchFamily="18" charset="0"/>
                  <a:ea typeface="+mn-ea"/>
                  <a:cs typeface="+mn-cs"/>
                </a:rPr>
                <a:t>𝐺_𝐶𝐻4=∑_(𝑥=1960)^(𝑇−1)▒(𝑊_𝑥∗𝐷𝑂</a:t>
              </a:r>
              <a:r>
                <a:rPr lang="en-US" sz="1100" b="0" i="0">
                  <a:solidFill>
                    <a:schemeClr val="dk1"/>
                  </a:solidFill>
                  <a:effectLst/>
                  <a:latin typeface="Cambria Math" panose="02040503050406030204" pitchFamily="18" charset="0"/>
                  <a:ea typeface="+mn-ea"/>
                  <a:cs typeface="+mn-cs"/>
                </a:rPr>
                <a:t>C</a:t>
              </a:r>
              <a:r>
                <a:rPr lang="x-IV_mathan" sz="1100" i="0">
                  <a:solidFill>
                    <a:schemeClr val="dk1"/>
                  </a:solidFill>
                  <a:effectLst/>
                  <a:latin typeface="Cambria Math" panose="02040503050406030204" pitchFamily="18" charset="0"/>
                  <a:ea typeface="+mn-ea"/>
                  <a:cs typeface="+mn-cs"/>
                </a:rPr>
                <a:t>∗𝑀𝐶𝐹∗𝐷𝑂𝐶_𝐹∗𝐹∗16/12∗(𝑒^(−𝑘(𝑇−𝑥−1) )−𝑒^(−𝑘(𝑇−𝑥) ) )) </a:t>
              </a:r>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a:p>
              <a:pPr algn="l"/>
              <a:r>
                <a:rPr lang="x-IV_mathan" sz="1100">
                  <a:solidFill>
                    <a:schemeClr val="dk1"/>
                  </a:solidFill>
                  <a:effectLst/>
                  <a:latin typeface="+mn-lt"/>
                  <a:ea typeface="+mn-ea"/>
                  <a:cs typeface="+mn-cs"/>
                </a:rPr>
                <a:t>G</a:t>
              </a:r>
              <a:r>
                <a:rPr lang="x-IV_mathan" sz="1100" baseline="-25000">
                  <a:solidFill>
                    <a:schemeClr val="dk1"/>
                  </a:solidFill>
                  <a:effectLst/>
                  <a:latin typeface="+mn-lt"/>
                  <a:ea typeface="+mn-ea"/>
                  <a:cs typeface="+mn-cs"/>
                </a:rPr>
                <a:t>CH4 </a:t>
              </a:r>
              <a:r>
                <a:rPr lang="x-IV_mathan" sz="1100" baseline="0">
                  <a:solidFill>
                    <a:schemeClr val="dk1"/>
                  </a:solidFill>
                  <a:effectLst/>
                  <a:latin typeface="+mn-lt"/>
                  <a:ea typeface="+mn-ea"/>
                  <a:cs typeface="+mn-cs"/>
                </a:rPr>
                <a:t>= Methane generation</a:t>
              </a:r>
            </a:p>
            <a:p>
              <a:pPr algn="l"/>
              <a:r>
                <a:rPr lang="" sz="1100" baseline="0">
                  <a:solidFill>
                    <a:schemeClr val="dk1"/>
                  </a:solidFill>
                  <a:effectLst/>
                  <a:latin typeface="+mn-lt"/>
                  <a:ea typeface="+mn-ea"/>
                  <a:cs typeface="+mn-cs"/>
                </a:rPr>
                <a:t>T = year of emissions calculation</a:t>
              </a:r>
              <a:endParaRPr lang="x-IV_mathan" sz="1100" baseline="0">
                <a:solidFill>
                  <a:schemeClr val="dk1"/>
                </a:solidFill>
                <a:effectLst/>
                <a:latin typeface="+mn-lt"/>
                <a:ea typeface="+mn-ea"/>
                <a:cs typeface="+mn-cs"/>
              </a:endParaRPr>
            </a:p>
            <a:p>
              <a:pPr algn="l"/>
              <a:r>
                <a:rPr lang="" sz="1100" baseline="0">
                  <a:solidFill>
                    <a:schemeClr val="dk1"/>
                  </a:solidFill>
                  <a:effectLst/>
                  <a:latin typeface="+mn-lt"/>
                  <a:ea typeface="+mn-ea"/>
                  <a:cs typeface="+mn-cs"/>
                </a:rPr>
                <a:t>Wx = Waste placed disposed in year x</a:t>
              </a:r>
            </a:p>
            <a:p>
              <a:pPr algn="l"/>
              <a:r>
                <a:rPr lang="" sz="1100" baseline="0">
                  <a:solidFill>
                    <a:schemeClr val="dk1"/>
                  </a:solidFill>
                  <a:effectLst/>
                  <a:latin typeface="+mn-lt"/>
                  <a:ea typeface="+mn-ea"/>
                  <a:cs typeface="+mn-cs"/>
                </a:rPr>
                <a:t>DOC = Degradable organic carbon for waste (default value of 0.22)</a:t>
              </a:r>
              <a:endParaRPr lang="x-IV_mathan" sz="1100" baseline="0">
                <a:solidFill>
                  <a:schemeClr val="dk1"/>
                </a:solidFill>
                <a:effectLst/>
                <a:latin typeface="+mn-lt"/>
                <a:ea typeface="+mn-ea"/>
                <a:cs typeface="+mn-cs"/>
              </a:endParaRPr>
            </a:p>
            <a:p>
              <a:pPr algn="l"/>
              <a:r>
                <a:rPr lang="x-IV_mathan" sz="1100">
                  <a:solidFill>
                    <a:schemeClr val="dk1"/>
                  </a:solidFill>
                  <a:effectLst/>
                  <a:latin typeface="+mn-lt"/>
                  <a:ea typeface="+mn-ea"/>
                  <a:cs typeface="+mn-cs"/>
                </a:rPr>
                <a:t>MCF = Methane</a:t>
              </a:r>
              <a:r>
                <a:rPr lang="x-IV_mathan" sz="1100" baseline="0">
                  <a:solidFill>
                    <a:schemeClr val="dk1"/>
                  </a:solidFill>
                  <a:effectLst/>
                  <a:latin typeface="+mn-lt"/>
                  <a:ea typeface="+mn-ea"/>
                  <a:cs typeface="+mn-cs"/>
                </a:rPr>
                <a:t> correction factor (default value of 1)</a:t>
              </a:r>
            </a:p>
            <a:p>
              <a:pPr algn="l"/>
              <a:r>
                <a:rPr lang="" sz="1100" baseline="0">
                  <a:solidFill>
                    <a:schemeClr val="dk1"/>
                  </a:solidFill>
                  <a:effectLst/>
                  <a:latin typeface="+mn-lt"/>
                  <a:ea typeface="+mn-ea"/>
                  <a:cs typeface="+mn-cs"/>
                </a:rPr>
                <a:t>DOC</a:t>
              </a:r>
              <a:r>
                <a:rPr lang="" sz="1100" baseline="-25000">
                  <a:solidFill>
                    <a:schemeClr val="dk1"/>
                  </a:solidFill>
                  <a:effectLst/>
                  <a:latin typeface="+mn-lt"/>
                  <a:ea typeface="+mn-ea"/>
                  <a:cs typeface="+mn-cs"/>
                </a:rPr>
                <a:t>F</a:t>
              </a:r>
              <a:r>
                <a:rPr lang="" sz="1100" baseline="0">
                  <a:solidFill>
                    <a:schemeClr val="dk1"/>
                  </a:solidFill>
                  <a:effectLst/>
                  <a:latin typeface="+mn-lt"/>
                  <a:ea typeface="+mn-ea"/>
                  <a:cs typeface="+mn-cs"/>
                </a:rPr>
                <a:t> = </a:t>
              </a:r>
              <a:r>
                <a:rPr lang="en-US" sz="1100" baseline="0">
                  <a:solidFill>
                    <a:schemeClr val="dk1"/>
                  </a:solidFill>
                  <a:effectLst/>
                  <a:latin typeface="+mn-lt"/>
                  <a:ea typeface="+mn-ea"/>
                  <a:cs typeface="+mn-cs"/>
                </a:rPr>
                <a:t>Fraction of DOC dissimilated (default value of 0.5)</a:t>
              </a:r>
            </a:p>
            <a:p>
              <a:pPr algn="l"/>
              <a:r>
                <a:rPr lang="en-US" sz="1100" baseline="0">
                  <a:solidFill>
                    <a:schemeClr val="dk1"/>
                  </a:solidFill>
                  <a:effectLst/>
                  <a:latin typeface="+mn-lt"/>
                  <a:ea typeface="+mn-ea"/>
                  <a:cs typeface="+mn-cs"/>
                </a:rPr>
                <a:t>F = fraction of methane in landfill gas</a:t>
              </a:r>
            </a:p>
            <a:p>
              <a:pPr algn="l"/>
              <a:r>
                <a:rPr lang="en-US" sz="1100" baseline="0">
                  <a:solidFill>
                    <a:schemeClr val="dk1"/>
                  </a:solidFill>
                  <a:effectLst/>
                  <a:latin typeface="+mn-lt"/>
                  <a:ea typeface="+mn-ea"/>
                  <a:cs typeface="+mn-cs"/>
                </a:rPr>
                <a:t>k = decay rate constant (default value for wet climates 0.038)</a:t>
              </a:r>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30826</xdr:colOff>
      <xdr:row>0</xdr:row>
      <xdr:rowOff>110837</xdr:rowOff>
    </xdr:from>
    <xdr:to>
      <xdr:col>0</xdr:col>
      <xdr:colOff>1752600</xdr:colOff>
      <xdr:row>0</xdr:row>
      <xdr:rowOff>599556</xdr:rowOff>
    </xdr:to>
    <xdr:pic>
      <xdr:nvPicPr>
        <xdr:cNvPr id="2" name="Picture 2">
          <a:hlinkClick xmlns:r="http://schemas.openxmlformats.org/officeDocument/2006/relationships" r:id="rId1"/>
          <a:extLst>
            <a:ext uri="{FF2B5EF4-FFF2-40B4-BE49-F238E27FC236}">
              <a16:creationId xmlns:a16="http://schemas.microsoft.com/office/drawing/2014/main" id="{B18A60A9-B96D-4B4D-A059-AC6BC7C99E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826" y="110837"/>
          <a:ext cx="1721774" cy="488719"/>
        </a:xfrm>
        <a:prstGeom prst="rect">
          <a:avLst/>
        </a:prstGeom>
      </xdr:spPr>
    </xdr:pic>
    <xdr:clientData/>
  </xdr:twoCellAnchor>
  <xdr:twoCellAnchor>
    <xdr:from>
      <xdr:col>0</xdr:col>
      <xdr:colOff>146340</xdr:colOff>
      <xdr:row>105</xdr:row>
      <xdr:rowOff>156727</xdr:rowOff>
    </xdr:from>
    <xdr:to>
      <xdr:col>2</xdr:col>
      <xdr:colOff>981076</xdr:colOff>
      <xdr:row>115</xdr:row>
      <xdr:rowOff>0</xdr:rowOff>
    </xdr:to>
    <mc:AlternateContent xmlns:mc="http://schemas.openxmlformats.org/markup-compatibility/2006" xmlns:a14="http://schemas.microsoft.com/office/drawing/2010/main">
      <mc:Choice Requires="a14">
        <xdr:sp macro="" textlink="">
          <xdr:nvSpPr>
            <xdr:cNvPr id="3" name="TextBox 4">
              <a:extLst>
                <a:ext uri="{FF2B5EF4-FFF2-40B4-BE49-F238E27FC236}">
                  <a16:creationId xmlns:a16="http://schemas.microsoft.com/office/drawing/2014/main" id="{F55A06BF-F6AD-C149-6A74-5679E71CA06F}"/>
                </a:ext>
              </a:extLst>
            </xdr:cNvPr>
            <xdr:cNvSpPr txBox="1"/>
          </xdr:nvSpPr>
          <xdr:spPr>
            <a:xfrm>
              <a:off x="146340" y="23407252"/>
              <a:ext cx="4892386" cy="2138798"/>
            </a:xfrm>
            <a:prstGeom prst="rect">
              <a:avLst/>
            </a:prstGeom>
            <a:solidFill>
              <a:srgbClr val="D9E1DD"/>
            </a:solidFill>
            <a:ln w="1270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left"/>
                  </m:oMathParaPr>
                  <m:oMath xmlns:m="http://schemas.openxmlformats.org/officeDocument/2006/math">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𝐺</m:t>
                        </m:r>
                      </m:e>
                      <m:sub>
                        <m:r>
                          <a:rPr lang="x-IV_mathan" sz="1100">
                            <a:solidFill>
                              <a:schemeClr val="dk1"/>
                            </a:solidFill>
                            <a:effectLst/>
                            <a:latin typeface="Cambria Math" panose="02040503050406030204" pitchFamily="18" charset="0"/>
                            <a:ea typeface="+mn-ea"/>
                            <a:cs typeface="+mn-cs"/>
                          </a:rPr>
                          <m:t>𝐶𝐻</m:t>
                        </m:r>
                        <m:r>
                          <a:rPr lang="x-IV_mathan" sz="1100">
                            <a:solidFill>
                              <a:schemeClr val="dk1"/>
                            </a:solidFill>
                            <a:effectLst/>
                            <a:latin typeface="Cambria Math" panose="02040503050406030204" pitchFamily="18" charset="0"/>
                            <a:ea typeface="+mn-ea"/>
                            <a:cs typeface="+mn-cs"/>
                          </a:rPr>
                          <m:t>4</m:t>
                        </m:r>
                      </m:sub>
                    </m:sSub>
                    <m:r>
                      <a:rPr lang="x-IV_mathan" sz="1100">
                        <a:solidFill>
                          <a:schemeClr val="dk1"/>
                        </a:solidFill>
                        <a:effectLst/>
                        <a:latin typeface="Cambria Math" panose="02040503050406030204" pitchFamily="18" charset="0"/>
                        <a:ea typeface="+mn-ea"/>
                        <a:cs typeface="+mn-cs"/>
                      </a:rPr>
                      <m:t>=</m:t>
                    </m:r>
                    <m:nary>
                      <m:naryPr>
                        <m:chr m:val="∑"/>
                        <m:ctrlPr>
                          <a:rPr lang="x-IV_mathan" sz="1100" i="1">
                            <a:solidFill>
                              <a:schemeClr val="dk1"/>
                            </a:solidFill>
                            <a:effectLst/>
                            <a:latin typeface="Cambria Math" panose="02040503050406030204" pitchFamily="18" charset="0"/>
                            <a:ea typeface="+mn-ea"/>
                            <a:cs typeface="+mn-cs"/>
                          </a:rPr>
                        </m:ctrlPr>
                      </m:naryPr>
                      <m:sub>
                        <m:r>
                          <a:rPr lang="x-IV_mathan" sz="1100">
                            <a:solidFill>
                              <a:schemeClr val="dk1"/>
                            </a:solidFill>
                            <a:effectLst/>
                            <a:latin typeface="Cambria Math" panose="02040503050406030204" pitchFamily="18" charset="0"/>
                            <a:ea typeface="+mn-ea"/>
                            <a:cs typeface="+mn-cs"/>
                          </a:rPr>
                          <m:t>𝑥</m:t>
                        </m:r>
                        <m:r>
                          <a:rPr lang="x-IV_mathan" sz="1100">
                            <a:solidFill>
                              <a:schemeClr val="dk1"/>
                            </a:solidFill>
                            <a:effectLst/>
                            <a:latin typeface="Cambria Math" panose="02040503050406030204" pitchFamily="18" charset="0"/>
                            <a:ea typeface="+mn-ea"/>
                            <a:cs typeface="+mn-cs"/>
                          </a:rPr>
                          <m:t>=1960</m:t>
                        </m:r>
                      </m:sub>
                      <m:sup>
                        <m:r>
                          <a:rPr lang="x-IV_mathan" sz="1100">
                            <a:solidFill>
                              <a:schemeClr val="dk1"/>
                            </a:solidFill>
                            <a:effectLst/>
                            <a:latin typeface="Cambria Math" panose="02040503050406030204" pitchFamily="18" charset="0"/>
                            <a:ea typeface="+mn-ea"/>
                            <a:cs typeface="+mn-cs"/>
                          </a:rPr>
                          <m:t>𝑇</m:t>
                        </m:r>
                        <m:r>
                          <a:rPr lang="x-IV_mathan" sz="1100">
                            <a:solidFill>
                              <a:schemeClr val="dk1"/>
                            </a:solidFill>
                            <a:effectLst/>
                            <a:latin typeface="Cambria Math" panose="02040503050406030204" pitchFamily="18" charset="0"/>
                            <a:ea typeface="+mn-ea"/>
                            <a:cs typeface="+mn-cs"/>
                          </a:rPr>
                          <m:t>−1</m:t>
                        </m:r>
                      </m:sup>
                      <m:e>
                        <m:d>
                          <m:dPr>
                            <m:ctrlPr>
                              <a:rPr lang="x-IV_mathan" sz="1100" i="1">
                                <a:solidFill>
                                  <a:schemeClr val="dk1"/>
                                </a:solidFill>
                                <a:effectLst/>
                                <a:latin typeface="Cambria Math" panose="02040503050406030204" pitchFamily="18" charset="0"/>
                                <a:ea typeface="+mn-ea"/>
                                <a:cs typeface="+mn-cs"/>
                              </a:rPr>
                            </m:ctrlPr>
                          </m:dPr>
                          <m:e>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𝑊</m:t>
                                </m:r>
                              </m:e>
                              <m:sub>
                                <m:r>
                                  <a:rPr lang="x-IV_mathan" sz="1100">
                                    <a:solidFill>
                                      <a:schemeClr val="dk1"/>
                                    </a:solidFill>
                                    <a:effectLst/>
                                    <a:latin typeface="Cambria Math" panose="02040503050406030204" pitchFamily="18" charset="0"/>
                                    <a:ea typeface="+mn-ea"/>
                                    <a:cs typeface="+mn-cs"/>
                                  </a:rPr>
                                  <m:t>𝑥</m:t>
                                </m:r>
                              </m:sub>
                            </m:sSub>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𝐷𝑂</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𝐶</m:t>
                                </m:r>
                              </m:e>
                              <m:sub>
                                <m:r>
                                  <a:rPr lang="x-IV_mathan" sz="1100">
                                    <a:solidFill>
                                      <a:schemeClr val="dk1"/>
                                    </a:solidFill>
                                    <a:effectLst/>
                                    <a:latin typeface="Cambria Math" panose="02040503050406030204" pitchFamily="18" charset="0"/>
                                    <a:ea typeface="+mn-ea"/>
                                    <a:cs typeface="+mn-cs"/>
                                  </a:rPr>
                                  <m:t>𝑥</m:t>
                                </m:r>
                              </m:sub>
                            </m:sSub>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𝑀𝐶𝐹</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𝐷𝑂</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𝐶</m:t>
                                </m:r>
                              </m:e>
                              <m:sub>
                                <m:r>
                                  <a:rPr lang="x-IV_mathan" sz="1100">
                                    <a:solidFill>
                                      <a:schemeClr val="dk1"/>
                                    </a:solidFill>
                                    <a:effectLst/>
                                    <a:latin typeface="Cambria Math" panose="02040503050406030204" pitchFamily="18" charset="0"/>
                                    <a:ea typeface="+mn-ea"/>
                                    <a:cs typeface="+mn-cs"/>
                                  </a:rPr>
                                  <m:t>𝐹</m:t>
                                </m:r>
                              </m:sub>
                            </m:sSub>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𝐹</m:t>
                            </m:r>
                            <m:r>
                              <a:rPr lang="x-IV_mathan" sz="1100">
                                <a:solidFill>
                                  <a:schemeClr val="dk1"/>
                                </a:solidFill>
                                <a:effectLst/>
                                <a:latin typeface="Cambria Math" panose="02040503050406030204" pitchFamily="18" charset="0"/>
                                <a:ea typeface="+mn-ea"/>
                                <a:cs typeface="+mn-cs"/>
                              </a:rPr>
                              <m:t>∗</m:t>
                            </m:r>
                            <m:f>
                              <m:fPr>
                                <m:ctrlPr>
                                  <a:rPr lang="x-IV_mathan" sz="1100" i="1">
                                    <a:solidFill>
                                      <a:schemeClr val="dk1"/>
                                    </a:solidFill>
                                    <a:effectLst/>
                                    <a:latin typeface="Cambria Math" panose="02040503050406030204" pitchFamily="18" charset="0"/>
                                    <a:ea typeface="+mn-ea"/>
                                    <a:cs typeface="+mn-cs"/>
                                  </a:rPr>
                                </m:ctrlPr>
                              </m:fPr>
                              <m:num>
                                <m:r>
                                  <a:rPr lang="x-IV_mathan" sz="1100">
                                    <a:solidFill>
                                      <a:schemeClr val="dk1"/>
                                    </a:solidFill>
                                    <a:effectLst/>
                                    <a:latin typeface="Cambria Math" panose="02040503050406030204" pitchFamily="18" charset="0"/>
                                    <a:ea typeface="+mn-ea"/>
                                    <a:cs typeface="+mn-cs"/>
                                  </a:rPr>
                                  <m:t>16</m:t>
                                </m:r>
                              </m:num>
                              <m:den>
                                <m:r>
                                  <a:rPr lang="x-IV_mathan" sz="1100">
                                    <a:solidFill>
                                      <a:schemeClr val="dk1"/>
                                    </a:solidFill>
                                    <a:effectLst/>
                                    <a:latin typeface="Cambria Math" panose="02040503050406030204" pitchFamily="18" charset="0"/>
                                    <a:ea typeface="+mn-ea"/>
                                    <a:cs typeface="+mn-cs"/>
                                  </a:rPr>
                                  <m:t>12</m:t>
                                </m:r>
                              </m:den>
                            </m:f>
                            <m:r>
                              <a:rPr lang="x-IV_mathan" sz="1100">
                                <a:solidFill>
                                  <a:schemeClr val="dk1"/>
                                </a:solidFill>
                                <a:effectLst/>
                                <a:latin typeface="Cambria Math" panose="02040503050406030204" pitchFamily="18" charset="0"/>
                                <a:ea typeface="+mn-ea"/>
                                <a:cs typeface="+mn-cs"/>
                              </a:rPr>
                              <m:t>∗</m:t>
                            </m:r>
                            <m:d>
                              <m:dPr>
                                <m:ctrlPr>
                                  <a:rPr lang="x-IV_mathan" sz="1100" i="1">
                                    <a:solidFill>
                                      <a:schemeClr val="dk1"/>
                                    </a:solidFill>
                                    <a:effectLst/>
                                    <a:latin typeface="Cambria Math" panose="02040503050406030204" pitchFamily="18" charset="0"/>
                                    <a:ea typeface="+mn-ea"/>
                                    <a:cs typeface="+mn-cs"/>
                                  </a:rPr>
                                </m:ctrlPr>
                              </m:dPr>
                              <m:e>
                                <m:sSup>
                                  <m:sSupPr>
                                    <m:ctrlPr>
                                      <a:rPr lang="x-IV_mathan" sz="1100" i="1">
                                        <a:solidFill>
                                          <a:schemeClr val="dk1"/>
                                        </a:solidFill>
                                        <a:effectLst/>
                                        <a:latin typeface="Cambria Math" panose="02040503050406030204" pitchFamily="18" charset="0"/>
                                        <a:ea typeface="+mn-ea"/>
                                        <a:cs typeface="+mn-cs"/>
                                      </a:rPr>
                                    </m:ctrlPr>
                                  </m:sSupPr>
                                  <m:e>
                                    <m:r>
                                      <a:rPr lang="x-IV_mathan" sz="1100">
                                        <a:solidFill>
                                          <a:schemeClr val="dk1"/>
                                        </a:solidFill>
                                        <a:effectLst/>
                                        <a:latin typeface="Cambria Math" panose="02040503050406030204" pitchFamily="18" charset="0"/>
                                        <a:ea typeface="+mn-ea"/>
                                        <a:cs typeface="+mn-cs"/>
                                      </a:rPr>
                                      <m:t>𝑒</m:t>
                                    </m:r>
                                  </m:e>
                                  <m:sup>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𝑘</m:t>
                                    </m:r>
                                    <m:d>
                                      <m:dPr>
                                        <m:ctrlPr>
                                          <a:rPr lang="x-IV_mathan" sz="1100" i="1">
                                            <a:solidFill>
                                              <a:schemeClr val="dk1"/>
                                            </a:solidFill>
                                            <a:effectLst/>
                                            <a:latin typeface="Cambria Math" panose="02040503050406030204" pitchFamily="18" charset="0"/>
                                            <a:ea typeface="+mn-ea"/>
                                            <a:cs typeface="+mn-cs"/>
                                          </a:rPr>
                                        </m:ctrlPr>
                                      </m:dPr>
                                      <m:e>
                                        <m:r>
                                          <a:rPr lang="x-IV_mathan" sz="1100">
                                            <a:solidFill>
                                              <a:schemeClr val="dk1"/>
                                            </a:solidFill>
                                            <a:effectLst/>
                                            <a:latin typeface="Cambria Math" panose="02040503050406030204" pitchFamily="18" charset="0"/>
                                            <a:ea typeface="+mn-ea"/>
                                            <a:cs typeface="+mn-cs"/>
                                          </a:rPr>
                                          <m:t>𝑇</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𝑥</m:t>
                                        </m:r>
                                        <m:r>
                                          <a:rPr lang="x-IV_mathan" sz="1100">
                                            <a:solidFill>
                                              <a:schemeClr val="dk1"/>
                                            </a:solidFill>
                                            <a:effectLst/>
                                            <a:latin typeface="Cambria Math" panose="02040503050406030204" pitchFamily="18" charset="0"/>
                                            <a:ea typeface="+mn-ea"/>
                                            <a:cs typeface="+mn-cs"/>
                                          </a:rPr>
                                          <m:t>−1</m:t>
                                        </m:r>
                                      </m:e>
                                    </m:d>
                                  </m:sup>
                                </m:sSup>
                                <m:r>
                                  <a:rPr lang="x-IV_mathan" sz="1100">
                                    <a:solidFill>
                                      <a:schemeClr val="dk1"/>
                                    </a:solidFill>
                                    <a:effectLst/>
                                    <a:latin typeface="Cambria Math" panose="02040503050406030204" pitchFamily="18" charset="0"/>
                                    <a:ea typeface="+mn-ea"/>
                                    <a:cs typeface="+mn-cs"/>
                                  </a:rPr>
                                  <m:t>−</m:t>
                                </m:r>
                                <m:sSup>
                                  <m:sSupPr>
                                    <m:ctrlPr>
                                      <a:rPr lang="x-IV_mathan" sz="1100" i="1">
                                        <a:solidFill>
                                          <a:schemeClr val="dk1"/>
                                        </a:solidFill>
                                        <a:effectLst/>
                                        <a:latin typeface="Cambria Math" panose="02040503050406030204" pitchFamily="18" charset="0"/>
                                        <a:ea typeface="+mn-ea"/>
                                        <a:cs typeface="+mn-cs"/>
                                      </a:rPr>
                                    </m:ctrlPr>
                                  </m:sSupPr>
                                  <m:e>
                                    <m:r>
                                      <a:rPr lang="x-IV_mathan" sz="1100">
                                        <a:solidFill>
                                          <a:schemeClr val="dk1"/>
                                        </a:solidFill>
                                        <a:effectLst/>
                                        <a:latin typeface="Cambria Math" panose="02040503050406030204" pitchFamily="18" charset="0"/>
                                        <a:ea typeface="+mn-ea"/>
                                        <a:cs typeface="+mn-cs"/>
                                      </a:rPr>
                                      <m:t>𝑒</m:t>
                                    </m:r>
                                  </m:e>
                                  <m:sup>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𝑘</m:t>
                                    </m:r>
                                    <m:d>
                                      <m:dPr>
                                        <m:ctrlPr>
                                          <a:rPr lang="x-IV_mathan" sz="1100" i="1">
                                            <a:solidFill>
                                              <a:schemeClr val="dk1"/>
                                            </a:solidFill>
                                            <a:effectLst/>
                                            <a:latin typeface="Cambria Math" panose="02040503050406030204" pitchFamily="18" charset="0"/>
                                            <a:ea typeface="+mn-ea"/>
                                            <a:cs typeface="+mn-cs"/>
                                          </a:rPr>
                                        </m:ctrlPr>
                                      </m:dPr>
                                      <m:e>
                                        <m:r>
                                          <a:rPr lang="x-IV_mathan" sz="1100">
                                            <a:solidFill>
                                              <a:schemeClr val="dk1"/>
                                            </a:solidFill>
                                            <a:effectLst/>
                                            <a:latin typeface="Cambria Math" panose="02040503050406030204" pitchFamily="18" charset="0"/>
                                            <a:ea typeface="+mn-ea"/>
                                            <a:cs typeface="+mn-cs"/>
                                          </a:rPr>
                                          <m:t>𝑇</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𝑥</m:t>
                                        </m:r>
                                      </m:e>
                                    </m:d>
                                  </m:sup>
                                </m:sSup>
                              </m:e>
                            </m:d>
                          </m:e>
                        </m:d>
                      </m:e>
                    </m:nary>
                  </m:oMath>
                </m:oMathPara>
              </a14:m>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a:p>
              <a:pPr algn="l"/>
              <a:r>
                <a:rPr lang="x-IV_mathan" sz="1100">
                  <a:solidFill>
                    <a:schemeClr val="dk1"/>
                  </a:solidFill>
                  <a:effectLst/>
                  <a:latin typeface="+mn-lt"/>
                  <a:ea typeface="+mn-ea"/>
                  <a:cs typeface="+mn-cs"/>
                </a:rPr>
                <a:t>G</a:t>
              </a:r>
              <a:r>
                <a:rPr lang="x-IV_mathan" sz="1100" baseline="-25000">
                  <a:solidFill>
                    <a:schemeClr val="dk1"/>
                  </a:solidFill>
                  <a:effectLst/>
                  <a:latin typeface="+mn-lt"/>
                  <a:ea typeface="+mn-ea"/>
                  <a:cs typeface="+mn-cs"/>
                </a:rPr>
                <a:t>CH4 </a:t>
              </a:r>
              <a:r>
                <a:rPr lang="x-IV_mathan" sz="1100" baseline="0">
                  <a:solidFill>
                    <a:schemeClr val="dk1"/>
                  </a:solidFill>
                  <a:effectLst/>
                  <a:latin typeface="+mn-lt"/>
                  <a:ea typeface="+mn-ea"/>
                  <a:cs typeface="+mn-cs"/>
                </a:rPr>
                <a:t>= Methane generation</a:t>
              </a:r>
            </a:p>
            <a:p>
              <a:pPr algn="l"/>
              <a:r>
                <a:rPr lang="" sz="1100" baseline="0">
                  <a:solidFill>
                    <a:schemeClr val="dk1"/>
                  </a:solidFill>
                  <a:effectLst/>
                  <a:latin typeface="+mn-lt"/>
                  <a:ea typeface="+mn-ea"/>
                  <a:cs typeface="+mn-cs"/>
                </a:rPr>
                <a:t>T = year of emissions calculation</a:t>
              </a:r>
              <a:endParaRPr lang="x-IV_mathan" sz="1100" baseline="0">
                <a:solidFill>
                  <a:schemeClr val="dk1"/>
                </a:solidFill>
                <a:effectLst/>
                <a:latin typeface="+mn-lt"/>
                <a:ea typeface="+mn-ea"/>
                <a:cs typeface="+mn-cs"/>
              </a:endParaRPr>
            </a:p>
            <a:p>
              <a:pPr algn="l"/>
              <a:r>
                <a:rPr lang="" sz="1100" baseline="0">
                  <a:solidFill>
                    <a:schemeClr val="dk1"/>
                  </a:solidFill>
                  <a:effectLst/>
                  <a:latin typeface="+mn-lt"/>
                  <a:ea typeface="+mn-ea"/>
                  <a:cs typeface="+mn-cs"/>
                </a:rPr>
                <a:t>W</a:t>
              </a:r>
              <a:r>
                <a:rPr lang="" sz="1100" baseline="-25000">
                  <a:solidFill>
                    <a:schemeClr val="dk1"/>
                  </a:solidFill>
                  <a:effectLst/>
                  <a:latin typeface="+mn-lt"/>
                  <a:ea typeface="+mn-ea"/>
                  <a:cs typeface="+mn-cs"/>
                </a:rPr>
                <a:t>x</a:t>
              </a:r>
              <a:r>
                <a:rPr lang="" sz="1100" baseline="0">
                  <a:solidFill>
                    <a:schemeClr val="dk1"/>
                  </a:solidFill>
                  <a:effectLst/>
                  <a:latin typeface="+mn-lt"/>
                  <a:ea typeface="+mn-ea"/>
                  <a:cs typeface="+mn-cs"/>
                </a:rPr>
                <a:t> = Waste placed disposed in year x</a:t>
              </a:r>
            </a:p>
            <a:p>
              <a:pPr algn="l"/>
              <a:r>
                <a:rPr lang="" sz="1100" baseline="0">
                  <a:solidFill>
                    <a:schemeClr val="dk1"/>
                  </a:solidFill>
                  <a:effectLst/>
                  <a:latin typeface="+mn-lt"/>
                  <a:ea typeface="+mn-ea"/>
                  <a:cs typeface="+mn-cs"/>
                </a:rPr>
                <a:t>DOC</a:t>
              </a:r>
              <a:r>
                <a:rPr lang="" sz="1100" baseline="-25000">
                  <a:solidFill>
                    <a:schemeClr val="dk1"/>
                  </a:solidFill>
                  <a:effectLst/>
                  <a:latin typeface="+mn-lt"/>
                  <a:ea typeface="+mn-ea"/>
                  <a:cs typeface="+mn-cs"/>
                </a:rPr>
                <a:t>x</a:t>
              </a:r>
              <a:r>
                <a:rPr lang="" sz="1100" baseline="0">
                  <a:solidFill>
                    <a:schemeClr val="dk1"/>
                  </a:solidFill>
                  <a:effectLst/>
                  <a:latin typeface="+mn-lt"/>
                  <a:ea typeface="+mn-ea"/>
                  <a:cs typeface="+mn-cs"/>
                </a:rPr>
                <a:t> = Degradable organic carbon for waste disposed of in year x</a:t>
              </a:r>
              <a:endParaRPr lang="x-IV_mathan" sz="1100" baseline="0">
                <a:solidFill>
                  <a:schemeClr val="dk1"/>
                </a:solidFill>
                <a:effectLst/>
                <a:latin typeface="+mn-lt"/>
                <a:ea typeface="+mn-ea"/>
                <a:cs typeface="+mn-cs"/>
              </a:endParaRPr>
            </a:p>
            <a:p>
              <a:pPr algn="l"/>
              <a:r>
                <a:rPr lang="x-IV_mathan" sz="1100">
                  <a:solidFill>
                    <a:schemeClr val="dk1"/>
                  </a:solidFill>
                  <a:effectLst/>
                  <a:latin typeface="+mn-lt"/>
                  <a:ea typeface="+mn-ea"/>
                  <a:cs typeface="+mn-cs"/>
                </a:rPr>
                <a:t>MCF = Methane</a:t>
              </a:r>
              <a:r>
                <a:rPr lang="x-IV_mathan" sz="1100" baseline="0">
                  <a:solidFill>
                    <a:schemeClr val="dk1"/>
                  </a:solidFill>
                  <a:effectLst/>
                  <a:latin typeface="+mn-lt"/>
                  <a:ea typeface="+mn-ea"/>
                  <a:cs typeface="+mn-cs"/>
                </a:rPr>
                <a:t> correction factor (default value of 1)</a:t>
              </a:r>
            </a:p>
            <a:p>
              <a:pPr algn="l"/>
              <a:r>
                <a:rPr lang="" sz="1100" baseline="0">
                  <a:solidFill>
                    <a:schemeClr val="dk1"/>
                  </a:solidFill>
                  <a:effectLst/>
                  <a:latin typeface="+mn-lt"/>
                  <a:ea typeface="+mn-ea"/>
                  <a:cs typeface="+mn-cs"/>
                </a:rPr>
                <a:t>DOC</a:t>
              </a:r>
              <a:r>
                <a:rPr lang="" sz="1100" baseline="-25000">
                  <a:solidFill>
                    <a:schemeClr val="dk1"/>
                  </a:solidFill>
                  <a:effectLst/>
                  <a:latin typeface="+mn-lt"/>
                  <a:ea typeface="+mn-ea"/>
                  <a:cs typeface="+mn-cs"/>
                </a:rPr>
                <a:t>F</a:t>
              </a:r>
              <a:r>
                <a:rPr lang="" sz="1100" baseline="0">
                  <a:solidFill>
                    <a:schemeClr val="dk1"/>
                  </a:solidFill>
                  <a:effectLst/>
                  <a:latin typeface="+mn-lt"/>
                  <a:ea typeface="+mn-ea"/>
                  <a:cs typeface="+mn-cs"/>
                </a:rPr>
                <a:t> = </a:t>
              </a:r>
              <a:r>
                <a:rPr lang="en-US" sz="1100" baseline="0">
                  <a:solidFill>
                    <a:schemeClr val="dk1"/>
                  </a:solidFill>
                  <a:effectLst/>
                  <a:latin typeface="+mn-lt"/>
                  <a:ea typeface="+mn-ea"/>
                  <a:cs typeface="+mn-cs"/>
                </a:rPr>
                <a:t>Fraction of DOC dissimilated (default value of 0.5)</a:t>
              </a:r>
            </a:p>
            <a:p>
              <a:pPr algn="l"/>
              <a:r>
                <a:rPr lang="en-US" sz="1100" baseline="0">
                  <a:solidFill>
                    <a:schemeClr val="dk1"/>
                  </a:solidFill>
                  <a:effectLst/>
                  <a:latin typeface="+mn-lt"/>
                  <a:ea typeface="+mn-ea"/>
                  <a:cs typeface="+mn-cs"/>
                </a:rPr>
                <a:t>F = fraction of methane in landfill gas</a:t>
              </a:r>
            </a:p>
            <a:p>
              <a:pPr algn="l"/>
              <a:r>
                <a:rPr lang="en-US" sz="1100" baseline="0">
                  <a:solidFill>
                    <a:schemeClr val="dk1"/>
                  </a:solidFill>
                  <a:effectLst/>
                  <a:latin typeface="+mn-lt"/>
                  <a:ea typeface="+mn-ea"/>
                  <a:cs typeface="+mn-cs"/>
                </a:rPr>
                <a:t>k = decay rate constant</a:t>
              </a:r>
              <a:endParaRPr lang="x-IV_mathan" sz="1100">
                <a:solidFill>
                  <a:schemeClr val="dk1"/>
                </a:solidFill>
                <a:effectLst/>
                <a:latin typeface="+mn-lt"/>
                <a:ea typeface="+mn-ea"/>
                <a:cs typeface="+mn-cs"/>
              </a:endParaRPr>
            </a:p>
          </xdr:txBody>
        </xdr:sp>
      </mc:Choice>
      <mc:Fallback xmlns="">
        <xdr:sp macro="" textlink="">
          <xdr:nvSpPr>
            <xdr:cNvPr id="3" name="TextBox 4">
              <a:extLst>
                <a:ext uri="{FF2B5EF4-FFF2-40B4-BE49-F238E27FC236}">
                  <a16:creationId xmlns:a16="http://schemas.microsoft.com/office/drawing/2014/main" id="{F55A06BF-F6AD-C149-6A74-5679E71CA06F}"/>
                </a:ext>
              </a:extLst>
            </xdr:cNvPr>
            <xdr:cNvSpPr txBox="1"/>
          </xdr:nvSpPr>
          <xdr:spPr>
            <a:xfrm>
              <a:off x="146340" y="23407252"/>
              <a:ext cx="4892386" cy="2138798"/>
            </a:xfrm>
            <a:prstGeom prst="rect">
              <a:avLst/>
            </a:prstGeom>
            <a:solidFill>
              <a:srgbClr val="D9E1DD"/>
            </a:solidFill>
            <a:ln w="1270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x-IV_mathan" sz="1100" i="0">
                  <a:solidFill>
                    <a:schemeClr val="dk1"/>
                  </a:solidFill>
                  <a:effectLst/>
                  <a:latin typeface="Cambria Math" panose="02040503050406030204" pitchFamily="18" charset="0"/>
                  <a:ea typeface="+mn-ea"/>
                  <a:cs typeface="+mn-cs"/>
                </a:rPr>
                <a:t>𝐺_𝐶𝐻4=∑_(𝑥=1960)^(𝑇−1)▒(𝑊_𝑥∗𝐷𝑂𝐶_𝑥∗𝑀𝐶𝐹∗𝐷𝑂𝐶_𝐹∗𝐹∗16/12∗(𝑒^(−𝑘(𝑇−𝑥−1) )−𝑒^(−𝑘(𝑇−𝑥) ) )) </a:t>
              </a:r>
              <a:endParaRPr lang="x-IV_mathan" sz="1100">
                <a:solidFill>
                  <a:schemeClr val="dk1"/>
                </a:solidFill>
                <a:effectLst/>
                <a:latin typeface="+mn-lt"/>
                <a:ea typeface="+mn-ea"/>
                <a:cs typeface="+mn-cs"/>
              </a:endParaRPr>
            </a:p>
            <a:p>
              <a:pPr algn="l"/>
              <a:endParaRPr lang="x-IV_mathan" sz="1100">
                <a:solidFill>
                  <a:schemeClr val="dk1"/>
                </a:solidFill>
                <a:effectLst/>
                <a:latin typeface="+mn-lt"/>
                <a:ea typeface="+mn-ea"/>
                <a:cs typeface="+mn-cs"/>
              </a:endParaRPr>
            </a:p>
            <a:p>
              <a:pPr algn="l"/>
              <a:r>
                <a:rPr lang="x-IV_mathan" sz="1100">
                  <a:solidFill>
                    <a:schemeClr val="dk1"/>
                  </a:solidFill>
                  <a:effectLst/>
                  <a:latin typeface="+mn-lt"/>
                  <a:ea typeface="+mn-ea"/>
                  <a:cs typeface="+mn-cs"/>
                </a:rPr>
                <a:t>G</a:t>
              </a:r>
              <a:r>
                <a:rPr lang="x-IV_mathan" sz="1100" baseline="-25000">
                  <a:solidFill>
                    <a:schemeClr val="dk1"/>
                  </a:solidFill>
                  <a:effectLst/>
                  <a:latin typeface="+mn-lt"/>
                  <a:ea typeface="+mn-ea"/>
                  <a:cs typeface="+mn-cs"/>
                </a:rPr>
                <a:t>CH4 </a:t>
              </a:r>
              <a:r>
                <a:rPr lang="x-IV_mathan" sz="1100" baseline="0">
                  <a:solidFill>
                    <a:schemeClr val="dk1"/>
                  </a:solidFill>
                  <a:effectLst/>
                  <a:latin typeface="+mn-lt"/>
                  <a:ea typeface="+mn-ea"/>
                  <a:cs typeface="+mn-cs"/>
                </a:rPr>
                <a:t>= Methane generation</a:t>
              </a:r>
            </a:p>
            <a:p>
              <a:pPr algn="l"/>
              <a:r>
                <a:rPr lang="" sz="1100" baseline="0">
                  <a:solidFill>
                    <a:schemeClr val="dk1"/>
                  </a:solidFill>
                  <a:effectLst/>
                  <a:latin typeface="+mn-lt"/>
                  <a:ea typeface="+mn-ea"/>
                  <a:cs typeface="+mn-cs"/>
                </a:rPr>
                <a:t>T = year of emissions calculation</a:t>
              </a:r>
              <a:endParaRPr lang="x-IV_mathan" sz="1100" baseline="0">
                <a:solidFill>
                  <a:schemeClr val="dk1"/>
                </a:solidFill>
                <a:effectLst/>
                <a:latin typeface="+mn-lt"/>
                <a:ea typeface="+mn-ea"/>
                <a:cs typeface="+mn-cs"/>
              </a:endParaRPr>
            </a:p>
            <a:p>
              <a:pPr algn="l"/>
              <a:r>
                <a:rPr lang="" sz="1100" baseline="0">
                  <a:solidFill>
                    <a:schemeClr val="dk1"/>
                  </a:solidFill>
                  <a:effectLst/>
                  <a:latin typeface="+mn-lt"/>
                  <a:ea typeface="+mn-ea"/>
                  <a:cs typeface="+mn-cs"/>
                </a:rPr>
                <a:t>W</a:t>
              </a:r>
              <a:r>
                <a:rPr lang="" sz="1100" baseline="-25000">
                  <a:solidFill>
                    <a:schemeClr val="dk1"/>
                  </a:solidFill>
                  <a:effectLst/>
                  <a:latin typeface="+mn-lt"/>
                  <a:ea typeface="+mn-ea"/>
                  <a:cs typeface="+mn-cs"/>
                </a:rPr>
                <a:t>x</a:t>
              </a:r>
              <a:r>
                <a:rPr lang="" sz="1100" baseline="0">
                  <a:solidFill>
                    <a:schemeClr val="dk1"/>
                  </a:solidFill>
                  <a:effectLst/>
                  <a:latin typeface="+mn-lt"/>
                  <a:ea typeface="+mn-ea"/>
                  <a:cs typeface="+mn-cs"/>
                </a:rPr>
                <a:t> = Waste placed disposed in year x</a:t>
              </a:r>
            </a:p>
            <a:p>
              <a:pPr algn="l"/>
              <a:r>
                <a:rPr lang="" sz="1100" baseline="0">
                  <a:solidFill>
                    <a:schemeClr val="dk1"/>
                  </a:solidFill>
                  <a:effectLst/>
                  <a:latin typeface="+mn-lt"/>
                  <a:ea typeface="+mn-ea"/>
                  <a:cs typeface="+mn-cs"/>
                </a:rPr>
                <a:t>DOC</a:t>
              </a:r>
              <a:r>
                <a:rPr lang="" sz="1100" baseline="-25000">
                  <a:solidFill>
                    <a:schemeClr val="dk1"/>
                  </a:solidFill>
                  <a:effectLst/>
                  <a:latin typeface="+mn-lt"/>
                  <a:ea typeface="+mn-ea"/>
                  <a:cs typeface="+mn-cs"/>
                </a:rPr>
                <a:t>x</a:t>
              </a:r>
              <a:r>
                <a:rPr lang="" sz="1100" baseline="0">
                  <a:solidFill>
                    <a:schemeClr val="dk1"/>
                  </a:solidFill>
                  <a:effectLst/>
                  <a:latin typeface="+mn-lt"/>
                  <a:ea typeface="+mn-ea"/>
                  <a:cs typeface="+mn-cs"/>
                </a:rPr>
                <a:t> = Degradable organic carbon for waste disposed of in year x</a:t>
              </a:r>
              <a:endParaRPr lang="x-IV_mathan" sz="1100" baseline="0">
                <a:solidFill>
                  <a:schemeClr val="dk1"/>
                </a:solidFill>
                <a:effectLst/>
                <a:latin typeface="+mn-lt"/>
                <a:ea typeface="+mn-ea"/>
                <a:cs typeface="+mn-cs"/>
              </a:endParaRPr>
            </a:p>
            <a:p>
              <a:pPr algn="l"/>
              <a:r>
                <a:rPr lang="x-IV_mathan" sz="1100">
                  <a:solidFill>
                    <a:schemeClr val="dk1"/>
                  </a:solidFill>
                  <a:effectLst/>
                  <a:latin typeface="+mn-lt"/>
                  <a:ea typeface="+mn-ea"/>
                  <a:cs typeface="+mn-cs"/>
                </a:rPr>
                <a:t>MCF = Methane</a:t>
              </a:r>
              <a:r>
                <a:rPr lang="x-IV_mathan" sz="1100" baseline="0">
                  <a:solidFill>
                    <a:schemeClr val="dk1"/>
                  </a:solidFill>
                  <a:effectLst/>
                  <a:latin typeface="+mn-lt"/>
                  <a:ea typeface="+mn-ea"/>
                  <a:cs typeface="+mn-cs"/>
                </a:rPr>
                <a:t> correction factor (default value of 1)</a:t>
              </a:r>
            </a:p>
            <a:p>
              <a:pPr algn="l"/>
              <a:r>
                <a:rPr lang="" sz="1100" baseline="0">
                  <a:solidFill>
                    <a:schemeClr val="dk1"/>
                  </a:solidFill>
                  <a:effectLst/>
                  <a:latin typeface="+mn-lt"/>
                  <a:ea typeface="+mn-ea"/>
                  <a:cs typeface="+mn-cs"/>
                </a:rPr>
                <a:t>DOC</a:t>
              </a:r>
              <a:r>
                <a:rPr lang="" sz="1100" baseline="-25000">
                  <a:solidFill>
                    <a:schemeClr val="dk1"/>
                  </a:solidFill>
                  <a:effectLst/>
                  <a:latin typeface="+mn-lt"/>
                  <a:ea typeface="+mn-ea"/>
                  <a:cs typeface="+mn-cs"/>
                </a:rPr>
                <a:t>F</a:t>
              </a:r>
              <a:r>
                <a:rPr lang="" sz="1100" baseline="0">
                  <a:solidFill>
                    <a:schemeClr val="dk1"/>
                  </a:solidFill>
                  <a:effectLst/>
                  <a:latin typeface="+mn-lt"/>
                  <a:ea typeface="+mn-ea"/>
                  <a:cs typeface="+mn-cs"/>
                </a:rPr>
                <a:t> = </a:t>
              </a:r>
              <a:r>
                <a:rPr lang="en-US" sz="1100" baseline="0">
                  <a:solidFill>
                    <a:schemeClr val="dk1"/>
                  </a:solidFill>
                  <a:effectLst/>
                  <a:latin typeface="+mn-lt"/>
                  <a:ea typeface="+mn-ea"/>
                  <a:cs typeface="+mn-cs"/>
                </a:rPr>
                <a:t>Fraction of DOC dissimilated (default value of 0.5)</a:t>
              </a:r>
            </a:p>
            <a:p>
              <a:pPr algn="l"/>
              <a:r>
                <a:rPr lang="en-US" sz="1100" baseline="0">
                  <a:solidFill>
                    <a:schemeClr val="dk1"/>
                  </a:solidFill>
                  <a:effectLst/>
                  <a:latin typeface="+mn-lt"/>
                  <a:ea typeface="+mn-ea"/>
                  <a:cs typeface="+mn-cs"/>
                </a:rPr>
                <a:t>F = fraction of methane in landfill gas</a:t>
              </a:r>
            </a:p>
            <a:p>
              <a:pPr algn="l"/>
              <a:r>
                <a:rPr lang="en-US" sz="1100" baseline="0">
                  <a:solidFill>
                    <a:schemeClr val="dk1"/>
                  </a:solidFill>
                  <a:effectLst/>
                  <a:latin typeface="+mn-lt"/>
                  <a:ea typeface="+mn-ea"/>
                  <a:cs typeface="+mn-cs"/>
                </a:rPr>
                <a:t>k = decay rate constant</a:t>
              </a:r>
              <a:endParaRPr lang="x-IV_mathan" sz="1100">
                <a:solidFill>
                  <a:schemeClr val="dk1"/>
                </a:solidFill>
                <a:effectLst/>
                <a:latin typeface="+mn-lt"/>
                <a:ea typeface="+mn-ea"/>
                <a:cs typeface="+mn-cs"/>
              </a:endParaRP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xdr:col>
      <xdr:colOff>95250</xdr:colOff>
      <xdr:row>0</xdr:row>
      <xdr:rowOff>628962</xdr:rowOff>
    </xdr:to>
    <xdr:pic>
      <xdr:nvPicPr>
        <xdr:cNvPr id="2" name="Picture 1">
          <a:hlinkClick xmlns:r="http://schemas.openxmlformats.org/officeDocument/2006/relationships" r:id="rId1"/>
          <a:extLst>
            <a:ext uri="{FF2B5EF4-FFF2-40B4-BE49-F238E27FC236}">
              <a16:creationId xmlns:a16="http://schemas.microsoft.com/office/drawing/2014/main" id="{46ECAFC1-ACE3-45D3-AA5F-0FA2C82DBC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66675"/>
          <a:ext cx="1777365" cy="552762"/>
        </a:xfrm>
        <a:prstGeom prst="rect">
          <a:avLst/>
        </a:prstGeom>
      </xdr:spPr>
    </xdr:pic>
    <xdr:clientData/>
  </xdr:twoCellAnchor>
  <xdr:twoCellAnchor>
    <xdr:from>
      <xdr:col>3</xdr:col>
      <xdr:colOff>214747</xdr:colOff>
      <xdr:row>11</xdr:row>
      <xdr:rowOff>332508</xdr:rowOff>
    </xdr:from>
    <xdr:to>
      <xdr:col>12</xdr:col>
      <xdr:colOff>207818</xdr:colOff>
      <xdr:row>19</xdr:row>
      <xdr:rowOff>62345</xdr:rowOff>
    </xdr:to>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45370C40-AC27-4D22-FB88-B562465606DB}"/>
                </a:ext>
              </a:extLst>
            </xdr:cNvPr>
            <xdr:cNvSpPr txBox="1"/>
          </xdr:nvSpPr>
          <xdr:spPr>
            <a:xfrm>
              <a:off x="5216238" y="3304308"/>
              <a:ext cx="5479471" cy="1731819"/>
            </a:xfrm>
            <a:prstGeom prst="rect">
              <a:avLst/>
            </a:prstGeom>
            <a:solidFill>
              <a:srgbClr val="D9E1DD"/>
            </a:solidFill>
            <a:ln>
              <a:solidFill>
                <a:srgbClr val="233F2B"/>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r>
                      <a:rPr lang="x-IV_mathan" sz="1200">
                        <a:solidFill>
                          <a:schemeClr val="dk1"/>
                        </a:solidFill>
                        <a:effectLst/>
                        <a:latin typeface="Cambria Math" panose="02040503050406030204" pitchFamily="18" charset="0"/>
                        <a:ea typeface="+mn-ea"/>
                        <a:cs typeface="+mn-cs"/>
                      </a:rPr>
                      <m:t>𝐸</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𝐹</m:t>
                        </m:r>
                      </m:e>
                      <m:sub>
                        <m:r>
                          <a:rPr lang="x-IV_mathan" sz="1200">
                            <a:solidFill>
                              <a:schemeClr val="dk1"/>
                            </a:solidFill>
                            <a:effectLst/>
                            <a:latin typeface="Cambria Math" panose="02040503050406030204" pitchFamily="18" charset="0"/>
                            <a:ea typeface="+mn-ea"/>
                            <a:cs typeface="+mn-cs"/>
                          </a:rPr>
                          <m:t>𝐶𝑙𝑖</m:t>
                        </m:r>
                      </m:sub>
                    </m:sSub>
                    <m:r>
                      <a:rPr lang="x-IV_mathan" sz="1200">
                        <a:solidFill>
                          <a:schemeClr val="dk1"/>
                        </a:solidFill>
                        <a:effectLst/>
                        <a:latin typeface="Cambria Math" panose="02040503050406030204" pitchFamily="18" charset="0"/>
                        <a:ea typeface="+mn-ea"/>
                        <a:cs typeface="+mn-cs"/>
                      </a:rPr>
                      <m:t>=</m:t>
                    </m:r>
                    <m:d>
                      <m:dPr>
                        <m:ctrlPr>
                          <a:rPr lang="x-IV_mathan" sz="1200" i="1">
                            <a:solidFill>
                              <a:schemeClr val="dk1"/>
                            </a:solidFill>
                            <a:effectLst/>
                            <a:latin typeface="Cambria Math" panose="02040503050406030204" pitchFamily="18" charset="0"/>
                            <a:ea typeface="+mn-ea"/>
                            <a:cs typeface="+mn-cs"/>
                          </a:rPr>
                        </m:ctrlPr>
                      </m:dPr>
                      <m:e>
                        <m:r>
                          <a:rPr lang="x-IV_mathan" sz="1200">
                            <a:solidFill>
                              <a:schemeClr val="dk1"/>
                            </a:solidFill>
                            <a:effectLst/>
                            <a:latin typeface="Cambria Math" panose="02040503050406030204" pitchFamily="18" charset="0"/>
                            <a:ea typeface="+mn-ea"/>
                            <a:cs typeface="+mn-cs"/>
                          </a:rPr>
                          <m:t>𝐶𝑙</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𝑖</m:t>
                            </m:r>
                          </m:e>
                          <m:sub>
                            <m:r>
                              <a:rPr lang="x-IV_mathan" sz="1200">
                                <a:solidFill>
                                  <a:schemeClr val="dk1"/>
                                </a:solidFill>
                                <a:effectLst/>
                                <a:latin typeface="Cambria Math" panose="02040503050406030204" pitchFamily="18" charset="0"/>
                                <a:ea typeface="+mn-ea"/>
                                <a:cs typeface="+mn-cs"/>
                              </a:rPr>
                              <m:t>𝐶𝑎𝑂</m:t>
                            </m:r>
                          </m:sub>
                        </m:sSub>
                        <m:r>
                          <a:rPr lang="x-IV_mathan" sz="1200">
                            <a:solidFill>
                              <a:schemeClr val="dk1"/>
                            </a:solidFill>
                            <a:effectLst/>
                            <a:latin typeface="Cambria Math" panose="02040503050406030204" pitchFamily="18" charset="0"/>
                            <a:ea typeface="+mn-ea"/>
                            <a:cs typeface="+mn-cs"/>
                          </a:rPr>
                          <m:t>−</m:t>
                        </m:r>
                        <m:r>
                          <a:rPr lang="x-IV_mathan" sz="1200">
                            <a:solidFill>
                              <a:schemeClr val="dk1"/>
                            </a:solidFill>
                            <a:effectLst/>
                            <a:latin typeface="Cambria Math" panose="02040503050406030204" pitchFamily="18" charset="0"/>
                            <a:ea typeface="+mn-ea"/>
                            <a:cs typeface="+mn-cs"/>
                          </a:rPr>
                          <m:t>𝐶𝑙</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𝑖</m:t>
                            </m:r>
                          </m:e>
                          <m:sub>
                            <m:r>
                              <a:rPr lang="x-IV_mathan" sz="1200">
                                <a:solidFill>
                                  <a:schemeClr val="dk1"/>
                                </a:solidFill>
                                <a:effectLst/>
                                <a:latin typeface="Cambria Math" panose="02040503050406030204" pitchFamily="18" charset="0"/>
                                <a:ea typeface="+mn-ea"/>
                                <a:cs typeface="+mn-cs"/>
                              </a:rPr>
                              <m:t>𝑛𝑐𝐶𝑎𝑂</m:t>
                            </m:r>
                          </m:sub>
                        </m:sSub>
                      </m:e>
                    </m:d>
                    <m:r>
                      <a:rPr lang="x-IV_mathan" sz="1200">
                        <a:solidFill>
                          <a:schemeClr val="dk1"/>
                        </a:solidFill>
                        <a:effectLst/>
                        <a:latin typeface="Cambria Math" panose="02040503050406030204" pitchFamily="18" charset="0"/>
                        <a:ea typeface="+mn-ea"/>
                        <a:cs typeface="+mn-cs"/>
                      </a:rPr>
                      <m:t>∗</m:t>
                    </m:r>
                    <m:r>
                      <a:rPr lang="x-IV_mathan" sz="1200">
                        <a:solidFill>
                          <a:schemeClr val="dk1"/>
                        </a:solidFill>
                        <a:effectLst/>
                        <a:latin typeface="Cambria Math" panose="02040503050406030204" pitchFamily="18" charset="0"/>
                        <a:ea typeface="+mn-ea"/>
                        <a:cs typeface="+mn-cs"/>
                      </a:rPr>
                      <m:t>𝑀</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𝑅</m:t>
                        </m:r>
                      </m:e>
                      <m:sub>
                        <m:r>
                          <a:rPr lang="x-IV_mathan" sz="1200">
                            <a:solidFill>
                              <a:schemeClr val="dk1"/>
                            </a:solidFill>
                            <a:effectLst/>
                            <a:latin typeface="Cambria Math" panose="02040503050406030204" pitchFamily="18" charset="0"/>
                            <a:ea typeface="+mn-ea"/>
                            <a:cs typeface="+mn-cs"/>
                          </a:rPr>
                          <m:t>𝐶𝑎𝑂</m:t>
                        </m:r>
                      </m:sub>
                    </m:sSub>
                    <m:r>
                      <a:rPr lang="x-IV_mathan" sz="1200">
                        <a:solidFill>
                          <a:schemeClr val="dk1"/>
                        </a:solidFill>
                        <a:effectLst/>
                        <a:latin typeface="Cambria Math" panose="02040503050406030204" pitchFamily="18" charset="0"/>
                        <a:ea typeface="+mn-ea"/>
                        <a:cs typeface="+mn-cs"/>
                      </a:rPr>
                      <m:t>+</m:t>
                    </m:r>
                    <m:d>
                      <m:dPr>
                        <m:ctrlPr>
                          <a:rPr lang="x-IV_mathan" sz="1200" i="1">
                            <a:solidFill>
                              <a:schemeClr val="dk1"/>
                            </a:solidFill>
                            <a:effectLst/>
                            <a:latin typeface="Cambria Math" panose="02040503050406030204" pitchFamily="18" charset="0"/>
                            <a:ea typeface="+mn-ea"/>
                            <a:cs typeface="+mn-cs"/>
                          </a:rPr>
                        </m:ctrlPr>
                      </m:dPr>
                      <m:e>
                        <m:r>
                          <a:rPr lang="x-IV_mathan" sz="1200">
                            <a:solidFill>
                              <a:schemeClr val="dk1"/>
                            </a:solidFill>
                            <a:effectLst/>
                            <a:latin typeface="Cambria Math" panose="02040503050406030204" pitchFamily="18" charset="0"/>
                            <a:ea typeface="+mn-ea"/>
                            <a:cs typeface="+mn-cs"/>
                          </a:rPr>
                          <m:t>𝐶𝑙</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𝑖</m:t>
                            </m:r>
                          </m:e>
                          <m:sub>
                            <m:r>
                              <a:rPr lang="x-IV_mathan" sz="1200">
                                <a:solidFill>
                                  <a:schemeClr val="dk1"/>
                                </a:solidFill>
                                <a:effectLst/>
                                <a:latin typeface="Cambria Math" panose="02040503050406030204" pitchFamily="18" charset="0"/>
                                <a:ea typeface="+mn-ea"/>
                                <a:cs typeface="+mn-cs"/>
                              </a:rPr>
                              <m:t>𝑀𝑔𝑂</m:t>
                            </m:r>
                          </m:sub>
                        </m:sSub>
                        <m:r>
                          <a:rPr lang="x-IV_mathan" sz="1200">
                            <a:solidFill>
                              <a:schemeClr val="dk1"/>
                            </a:solidFill>
                            <a:effectLst/>
                            <a:latin typeface="Cambria Math" panose="02040503050406030204" pitchFamily="18" charset="0"/>
                            <a:ea typeface="+mn-ea"/>
                            <a:cs typeface="+mn-cs"/>
                          </a:rPr>
                          <m:t>−</m:t>
                        </m:r>
                        <m:r>
                          <a:rPr lang="x-IV_mathan" sz="1200">
                            <a:solidFill>
                              <a:schemeClr val="dk1"/>
                            </a:solidFill>
                            <a:effectLst/>
                            <a:latin typeface="Cambria Math" panose="02040503050406030204" pitchFamily="18" charset="0"/>
                            <a:ea typeface="+mn-ea"/>
                            <a:cs typeface="+mn-cs"/>
                          </a:rPr>
                          <m:t>𝐶𝑙</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𝑖</m:t>
                            </m:r>
                          </m:e>
                          <m:sub>
                            <m:r>
                              <a:rPr lang="x-IV_mathan" sz="1200">
                                <a:solidFill>
                                  <a:schemeClr val="dk1"/>
                                </a:solidFill>
                                <a:effectLst/>
                                <a:latin typeface="Cambria Math" panose="02040503050406030204" pitchFamily="18" charset="0"/>
                                <a:ea typeface="+mn-ea"/>
                                <a:cs typeface="+mn-cs"/>
                              </a:rPr>
                              <m:t>𝑛𝑐𝑀𝑔𝑂</m:t>
                            </m:r>
                          </m:sub>
                        </m:sSub>
                      </m:e>
                    </m:d>
                    <m:r>
                      <a:rPr lang="x-IV_mathan" sz="1200">
                        <a:solidFill>
                          <a:schemeClr val="dk1"/>
                        </a:solidFill>
                        <a:effectLst/>
                        <a:latin typeface="Cambria Math" panose="02040503050406030204" pitchFamily="18" charset="0"/>
                        <a:ea typeface="+mn-ea"/>
                        <a:cs typeface="+mn-cs"/>
                      </a:rPr>
                      <m:t>∗</m:t>
                    </m:r>
                    <m:r>
                      <a:rPr lang="x-IV_mathan" sz="1200">
                        <a:solidFill>
                          <a:schemeClr val="dk1"/>
                        </a:solidFill>
                        <a:effectLst/>
                        <a:latin typeface="Cambria Math" panose="02040503050406030204" pitchFamily="18" charset="0"/>
                        <a:ea typeface="+mn-ea"/>
                        <a:cs typeface="+mn-cs"/>
                      </a:rPr>
                      <m:t>𝑀</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𝑅</m:t>
                        </m:r>
                      </m:e>
                      <m:sub>
                        <m:r>
                          <a:rPr lang="x-IV_mathan" sz="1200">
                            <a:solidFill>
                              <a:schemeClr val="dk1"/>
                            </a:solidFill>
                            <a:effectLst/>
                            <a:latin typeface="Cambria Math" panose="02040503050406030204" pitchFamily="18" charset="0"/>
                            <a:ea typeface="+mn-ea"/>
                            <a:cs typeface="+mn-cs"/>
                          </a:rPr>
                          <m:t>𝑀𝑔𝑂</m:t>
                        </m:r>
                      </m:sub>
                    </m:sSub>
                  </m:oMath>
                </m:oMathPara>
              </a14:m>
              <a:endParaRPr lang="x-IV_mathan" sz="1200">
                <a:solidFill>
                  <a:schemeClr val="dk1"/>
                </a:solidFill>
                <a:effectLst/>
                <a:latin typeface="+mn-lt"/>
                <a:ea typeface="+mn-ea"/>
                <a:cs typeface="+mn-cs"/>
              </a:endParaRPr>
            </a:p>
            <a:p>
              <a:endParaRPr lang="x-IV_mathan" sz="1200">
                <a:solidFill>
                  <a:schemeClr val="dk1"/>
                </a:solidFill>
                <a:effectLst/>
                <a:latin typeface="+mn-lt"/>
                <a:ea typeface="+mn-ea"/>
                <a:cs typeface="+mn-cs"/>
              </a:endParaRPr>
            </a:p>
            <a:p>
              <a14:m>
                <m:oMath xmlns:m="http://schemas.openxmlformats.org/officeDocument/2006/math">
                  <m:r>
                    <a:rPr lang="x-IV_mathan" sz="1100">
                      <a:solidFill>
                        <a:schemeClr val="dk1"/>
                      </a:solidFill>
                      <a:effectLst/>
                      <a:latin typeface="Cambria Math" panose="02040503050406030204" pitchFamily="18" charset="0"/>
                      <a:ea typeface="+mn-ea"/>
                      <a:cs typeface="+mn-cs"/>
                    </a:rPr>
                    <m:t>𝐸</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𝐹</m:t>
                      </m:r>
                    </m:e>
                    <m:sub>
                      <m:r>
                        <a:rPr lang="x-IV_mathan" sz="1100">
                          <a:solidFill>
                            <a:schemeClr val="dk1"/>
                          </a:solidFill>
                          <a:effectLst/>
                          <a:latin typeface="Cambria Math" panose="02040503050406030204" pitchFamily="18" charset="0"/>
                          <a:ea typeface="+mn-ea"/>
                          <a:cs typeface="+mn-cs"/>
                        </a:rPr>
                        <m:t>𝐶𝑙𝑖</m:t>
                      </m:r>
                    </m:sub>
                  </m:sSub>
                </m:oMath>
              </a14:m>
              <a:r>
                <a:rPr lang="x-IV_mathan" sz="1100" i="1">
                  <a:solidFill>
                    <a:schemeClr val="dk1"/>
                  </a:solidFill>
                  <a:effectLst/>
                  <a:latin typeface="+mn-lt"/>
                  <a:ea typeface="+mn-ea"/>
                  <a:cs typeface="+mn-cs"/>
                </a:rPr>
                <a:t> </a:t>
              </a:r>
              <a:r>
                <a:rPr lang="x-IV_mathan" sz="1100">
                  <a:solidFill>
                    <a:schemeClr val="dk1"/>
                  </a:solidFill>
                  <a:effectLst/>
                  <a:latin typeface="+mn-lt"/>
                  <a:ea typeface="+mn-ea"/>
                  <a:cs typeface="+mn-cs"/>
                </a:rPr>
                <a:t>= Clinker emission factor</a:t>
              </a:r>
            </a:p>
            <a:p>
              <a14:m>
                <m:oMath xmlns:m="http://schemas.openxmlformats.org/officeDocument/2006/math">
                  <m:r>
                    <a:rPr lang="x-IV_mathan" sz="1100">
                      <a:solidFill>
                        <a:schemeClr val="dk1"/>
                      </a:solidFill>
                      <a:effectLst/>
                      <a:latin typeface="Cambria Math" panose="02040503050406030204" pitchFamily="18" charset="0"/>
                      <a:ea typeface="+mn-ea"/>
                      <a:cs typeface="+mn-cs"/>
                    </a:rPr>
                    <m:t>𝐶𝑙</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𝑖</m:t>
                      </m:r>
                    </m:e>
                    <m:sub>
                      <m:r>
                        <a:rPr lang="x-IV_mathan" sz="1100">
                          <a:solidFill>
                            <a:schemeClr val="dk1"/>
                          </a:solidFill>
                          <a:effectLst/>
                          <a:latin typeface="Cambria Math" panose="02040503050406030204" pitchFamily="18" charset="0"/>
                          <a:ea typeface="+mn-ea"/>
                          <a:cs typeface="+mn-cs"/>
                        </a:rPr>
                        <m:t>𝐶𝑎𝑂</m:t>
                      </m:r>
                    </m:sub>
                  </m:sSub>
                </m:oMath>
              </a14:m>
              <a:r>
                <a:rPr lang="x-IV_mathan" sz="1100">
                  <a:solidFill>
                    <a:schemeClr val="dk1"/>
                  </a:solidFill>
                  <a:effectLst/>
                  <a:latin typeface="+mn-lt"/>
                  <a:ea typeface="+mn-ea"/>
                  <a:cs typeface="+mn-cs"/>
                </a:rPr>
                <a:t>= weight percent of CaO in clinker</a:t>
              </a:r>
            </a:p>
            <a:p>
              <a14:m>
                <m:oMath xmlns:m="http://schemas.openxmlformats.org/officeDocument/2006/math">
                  <m:r>
                    <a:rPr lang="x-IV_mathan" sz="1100">
                      <a:solidFill>
                        <a:schemeClr val="dk1"/>
                      </a:solidFill>
                      <a:effectLst/>
                      <a:latin typeface="Cambria Math" panose="02040503050406030204" pitchFamily="18" charset="0"/>
                      <a:ea typeface="+mn-ea"/>
                      <a:cs typeface="+mn-cs"/>
                    </a:rPr>
                    <m:t>𝐶𝑙</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𝑖</m:t>
                      </m:r>
                    </m:e>
                    <m:sub>
                      <m:r>
                        <a:rPr lang="x-IV_mathan" sz="1100">
                          <a:solidFill>
                            <a:schemeClr val="dk1"/>
                          </a:solidFill>
                          <a:effectLst/>
                          <a:latin typeface="Cambria Math" panose="02040503050406030204" pitchFamily="18" charset="0"/>
                          <a:ea typeface="+mn-ea"/>
                          <a:cs typeface="+mn-cs"/>
                        </a:rPr>
                        <m:t>𝑛𝑐𝐶𝑎𝑂</m:t>
                      </m:r>
                    </m:sub>
                  </m:sSub>
                </m:oMath>
              </a14:m>
              <a:r>
                <a:rPr lang="x-IV_mathan" sz="1100">
                  <a:solidFill>
                    <a:schemeClr val="dk1"/>
                  </a:solidFill>
                  <a:effectLst/>
                  <a:latin typeface="+mn-lt"/>
                  <a:ea typeface="+mn-ea"/>
                  <a:cs typeface="+mn-cs"/>
                </a:rPr>
                <a:t> = weight percent of non-calcined CaO in clinker</a:t>
              </a:r>
            </a:p>
            <a:p>
              <a14:m>
                <m:oMath xmlns:m="http://schemas.openxmlformats.org/officeDocument/2006/math">
                  <m:r>
                    <a:rPr lang="x-IV_mathan" sz="1100">
                      <a:solidFill>
                        <a:schemeClr val="dk1"/>
                      </a:solidFill>
                      <a:effectLst/>
                      <a:latin typeface="Cambria Math" panose="02040503050406030204" pitchFamily="18" charset="0"/>
                      <a:ea typeface="+mn-ea"/>
                      <a:cs typeface="+mn-cs"/>
                    </a:rPr>
                    <m:t>𝑀</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𝑅</m:t>
                      </m:r>
                    </m:e>
                    <m:sub>
                      <m:r>
                        <a:rPr lang="x-IV_mathan" sz="1100">
                          <a:solidFill>
                            <a:schemeClr val="dk1"/>
                          </a:solidFill>
                          <a:effectLst/>
                          <a:latin typeface="Cambria Math" panose="02040503050406030204" pitchFamily="18" charset="0"/>
                          <a:ea typeface="+mn-ea"/>
                          <a:cs typeface="+mn-cs"/>
                        </a:rPr>
                        <m:t>𝐶𝑎𝑂</m:t>
                      </m:r>
                    </m:sub>
                  </m:sSub>
                </m:oMath>
              </a14:m>
              <a:r>
                <a:rPr lang="x-IV_mathan" sz="1100">
                  <a:solidFill>
                    <a:schemeClr val="dk1"/>
                  </a:solidFill>
                  <a:effectLst/>
                  <a:latin typeface="+mn-lt"/>
                  <a:ea typeface="+mn-ea"/>
                  <a:cs typeface="+mn-cs"/>
                </a:rPr>
                <a:t>= Molecular weight ratio of CO2/CaO</a:t>
              </a:r>
            </a:p>
            <a:p>
              <a14:m>
                <m:oMath xmlns:m="http://schemas.openxmlformats.org/officeDocument/2006/math">
                  <m:r>
                    <a:rPr lang="x-IV_mathan" sz="1100">
                      <a:solidFill>
                        <a:schemeClr val="dk1"/>
                      </a:solidFill>
                      <a:effectLst/>
                      <a:latin typeface="Cambria Math" panose="02040503050406030204" pitchFamily="18" charset="0"/>
                      <a:ea typeface="+mn-ea"/>
                      <a:cs typeface="+mn-cs"/>
                    </a:rPr>
                    <m:t>𝐶𝑙</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𝑖</m:t>
                      </m:r>
                    </m:e>
                    <m:sub>
                      <m:r>
                        <a:rPr lang="x-IV_mathan" sz="1100">
                          <a:solidFill>
                            <a:schemeClr val="dk1"/>
                          </a:solidFill>
                          <a:effectLst/>
                          <a:latin typeface="Cambria Math" panose="02040503050406030204" pitchFamily="18" charset="0"/>
                          <a:ea typeface="+mn-ea"/>
                          <a:cs typeface="+mn-cs"/>
                        </a:rPr>
                        <m:t>𝑀𝑔𝑂</m:t>
                      </m:r>
                    </m:sub>
                  </m:sSub>
                </m:oMath>
              </a14:m>
              <a:r>
                <a:rPr lang="x-IV_mathan" sz="1100">
                  <a:solidFill>
                    <a:schemeClr val="dk1"/>
                  </a:solidFill>
                  <a:effectLst/>
                  <a:latin typeface="+mn-lt"/>
                  <a:ea typeface="+mn-ea"/>
                  <a:cs typeface="+mn-cs"/>
                </a:rPr>
                <a:t>= weight percent of MgO</a:t>
              </a:r>
            </a:p>
            <a:p>
              <a14:m>
                <m:oMath xmlns:m="http://schemas.openxmlformats.org/officeDocument/2006/math">
                  <m:r>
                    <a:rPr lang="x-IV_mathan" sz="1100">
                      <a:solidFill>
                        <a:schemeClr val="dk1"/>
                      </a:solidFill>
                      <a:effectLst/>
                      <a:latin typeface="Cambria Math" panose="02040503050406030204" pitchFamily="18" charset="0"/>
                      <a:ea typeface="+mn-ea"/>
                      <a:cs typeface="+mn-cs"/>
                    </a:rPr>
                    <m:t>𝐶𝑙</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𝑖</m:t>
                      </m:r>
                    </m:e>
                    <m:sub>
                      <m:r>
                        <a:rPr lang="x-IV_mathan" sz="1100">
                          <a:solidFill>
                            <a:schemeClr val="dk1"/>
                          </a:solidFill>
                          <a:effectLst/>
                          <a:latin typeface="Cambria Math" panose="02040503050406030204" pitchFamily="18" charset="0"/>
                          <a:ea typeface="+mn-ea"/>
                          <a:cs typeface="+mn-cs"/>
                        </a:rPr>
                        <m:t>𝑛𝑐𝑀𝑔𝑂</m:t>
                      </m:r>
                    </m:sub>
                  </m:sSub>
                </m:oMath>
              </a14:m>
              <a:r>
                <a:rPr lang="x-IV_mathan" sz="1100">
                  <a:solidFill>
                    <a:schemeClr val="dk1"/>
                  </a:solidFill>
                  <a:effectLst/>
                  <a:latin typeface="+mn-lt"/>
                  <a:ea typeface="+mn-ea"/>
                  <a:cs typeface="+mn-cs"/>
                </a:rPr>
                <a:t>= weight percent of non-calcined MgO</a:t>
              </a:r>
            </a:p>
            <a:p>
              <a14:m>
                <m:oMath xmlns:m="http://schemas.openxmlformats.org/officeDocument/2006/math">
                  <m:r>
                    <a:rPr lang="x-IV_mathan" sz="1100">
                      <a:solidFill>
                        <a:schemeClr val="dk1"/>
                      </a:solidFill>
                      <a:effectLst/>
                      <a:latin typeface="Cambria Math" panose="02040503050406030204" pitchFamily="18" charset="0"/>
                      <a:ea typeface="+mn-ea"/>
                      <a:cs typeface="+mn-cs"/>
                    </a:rPr>
                    <m:t>𝑀</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𝑅</m:t>
                      </m:r>
                    </m:e>
                    <m:sub>
                      <m:r>
                        <a:rPr lang="x-IV_mathan" sz="1100">
                          <a:solidFill>
                            <a:schemeClr val="dk1"/>
                          </a:solidFill>
                          <a:effectLst/>
                          <a:latin typeface="Cambria Math" panose="02040503050406030204" pitchFamily="18" charset="0"/>
                          <a:ea typeface="+mn-ea"/>
                          <a:cs typeface="+mn-cs"/>
                        </a:rPr>
                        <m:t>𝑀𝑔𝑂</m:t>
                      </m:r>
                    </m:sub>
                  </m:sSub>
                </m:oMath>
              </a14:m>
              <a:r>
                <a:rPr lang="x-IV_mathan" sz="1100">
                  <a:solidFill>
                    <a:schemeClr val="dk1"/>
                  </a:solidFill>
                  <a:effectLst/>
                  <a:latin typeface="+mn-lt"/>
                  <a:ea typeface="+mn-ea"/>
                  <a:cs typeface="+mn-cs"/>
                </a:rPr>
                <a:t>= Molecular weight ratio of CO2/MgO</a:t>
              </a:r>
            </a:p>
          </xdr:txBody>
        </xdr:sp>
      </mc:Choice>
      <mc:Fallback xmlns="">
        <xdr:sp macro="" textlink="">
          <xdr:nvSpPr>
            <xdr:cNvPr id="15" name="TextBox 14">
              <a:extLst>
                <a:ext uri="{FF2B5EF4-FFF2-40B4-BE49-F238E27FC236}">
                  <a16:creationId xmlns:a16="http://schemas.microsoft.com/office/drawing/2014/main" id="{45370C40-AC27-4D22-FB88-B562465606DB}"/>
                </a:ext>
              </a:extLst>
            </xdr:cNvPr>
            <xdr:cNvSpPr txBox="1"/>
          </xdr:nvSpPr>
          <xdr:spPr>
            <a:xfrm>
              <a:off x="5216238" y="3304308"/>
              <a:ext cx="5479471" cy="1731819"/>
            </a:xfrm>
            <a:prstGeom prst="rect">
              <a:avLst/>
            </a:prstGeom>
            <a:solidFill>
              <a:srgbClr val="D9E1DD"/>
            </a:solidFill>
            <a:ln>
              <a:solidFill>
                <a:srgbClr val="233F2B"/>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r>
                <a:rPr lang="x-IV_mathan" sz="1200" i="0">
                  <a:solidFill>
                    <a:schemeClr val="dk1"/>
                  </a:solidFill>
                  <a:effectLst/>
                  <a:latin typeface="Cambria Math" panose="02040503050406030204" pitchFamily="18" charset="0"/>
                  <a:ea typeface="+mn-ea"/>
                  <a:cs typeface="+mn-cs"/>
                </a:rPr>
                <a:t>𝐸𝐹_𝐶𝑙𝑖=(𝐶𝑙𝑖_𝐶𝑎𝑂−𝐶𝑙𝑖_𝑛𝑐𝐶𝑎𝑂 )∗𝑀𝑅_𝐶𝑎𝑂+(𝐶𝑙𝑖_𝑀𝑔𝑂−𝐶𝑙𝑖_𝑛𝑐𝑀𝑔𝑂 )∗𝑀𝑅_𝑀𝑔𝑂</a:t>
              </a:r>
              <a:endParaRPr lang="x-IV_mathan" sz="1200">
                <a:solidFill>
                  <a:schemeClr val="dk1"/>
                </a:solidFill>
                <a:effectLst/>
                <a:latin typeface="+mn-lt"/>
                <a:ea typeface="+mn-ea"/>
                <a:cs typeface="+mn-cs"/>
              </a:endParaRPr>
            </a:p>
            <a:p>
              <a:endParaRPr lang="x-IV_mathan" sz="1200">
                <a:solidFill>
                  <a:schemeClr val="dk1"/>
                </a:solidFill>
                <a:effectLst/>
                <a:latin typeface="+mn-lt"/>
                <a:ea typeface="+mn-ea"/>
                <a:cs typeface="+mn-cs"/>
              </a:endParaRPr>
            </a:p>
            <a:p>
              <a:r>
                <a:rPr lang="x-IV_mathan" sz="1100" i="0">
                  <a:solidFill>
                    <a:schemeClr val="dk1"/>
                  </a:solidFill>
                  <a:effectLst/>
                  <a:latin typeface="Cambria Math" panose="02040503050406030204" pitchFamily="18" charset="0"/>
                  <a:ea typeface="+mn-ea"/>
                  <a:cs typeface="+mn-cs"/>
                </a:rPr>
                <a:t>𝐸𝐹_𝐶𝑙𝑖</a:t>
              </a:r>
              <a:r>
                <a:rPr lang="x-IV_mathan" sz="1100" i="1">
                  <a:solidFill>
                    <a:schemeClr val="dk1"/>
                  </a:solidFill>
                  <a:effectLst/>
                  <a:latin typeface="+mn-lt"/>
                  <a:ea typeface="+mn-ea"/>
                  <a:cs typeface="+mn-cs"/>
                </a:rPr>
                <a:t> </a:t>
              </a:r>
              <a:r>
                <a:rPr lang="x-IV_mathan" sz="1100">
                  <a:solidFill>
                    <a:schemeClr val="dk1"/>
                  </a:solidFill>
                  <a:effectLst/>
                  <a:latin typeface="+mn-lt"/>
                  <a:ea typeface="+mn-ea"/>
                  <a:cs typeface="+mn-cs"/>
                </a:rPr>
                <a:t>= Clinker emission factor</a:t>
              </a:r>
            </a:p>
            <a:p>
              <a:r>
                <a:rPr lang="x-IV_mathan" sz="1100" i="0">
                  <a:solidFill>
                    <a:schemeClr val="dk1"/>
                  </a:solidFill>
                  <a:effectLst/>
                  <a:latin typeface="Cambria Math" panose="02040503050406030204" pitchFamily="18" charset="0"/>
                  <a:ea typeface="+mn-ea"/>
                  <a:cs typeface="+mn-cs"/>
                </a:rPr>
                <a:t>𝐶𝑙𝑖_𝐶𝑎𝑂</a:t>
              </a:r>
              <a:r>
                <a:rPr lang="x-IV_mathan" sz="1100">
                  <a:solidFill>
                    <a:schemeClr val="dk1"/>
                  </a:solidFill>
                  <a:effectLst/>
                  <a:latin typeface="+mn-lt"/>
                  <a:ea typeface="+mn-ea"/>
                  <a:cs typeface="+mn-cs"/>
                </a:rPr>
                <a:t>= weight percent of CaO in clinker</a:t>
              </a:r>
            </a:p>
            <a:p>
              <a:r>
                <a:rPr lang="x-IV_mathan" sz="1100" i="0">
                  <a:solidFill>
                    <a:schemeClr val="dk1"/>
                  </a:solidFill>
                  <a:effectLst/>
                  <a:latin typeface="Cambria Math" panose="02040503050406030204" pitchFamily="18" charset="0"/>
                  <a:ea typeface="+mn-ea"/>
                  <a:cs typeface="+mn-cs"/>
                </a:rPr>
                <a:t>𝐶𝑙𝑖_𝑛𝑐𝐶𝑎𝑂</a:t>
              </a:r>
              <a:r>
                <a:rPr lang="x-IV_mathan" sz="1100">
                  <a:solidFill>
                    <a:schemeClr val="dk1"/>
                  </a:solidFill>
                  <a:effectLst/>
                  <a:latin typeface="+mn-lt"/>
                  <a:ea typeface="+mn-ea"/>
                  <a:cs typeface="+mn-cs"/>
                </a:rPr>
                <a:t> = weight percent of non-calcined CaO in clinker</a:t>
              </a:r>
            </a:p>
            <a:p>
              <a:r>
                <a:rPr lang="x-IV_mathan" sz="1100" i="0">
                  <a:solidFill>
                    <a:schemeClr val="dk1"/>
                  </a:solidFill>
                  <a:effectLst/>
                  <a:latin typeface="Cambria Math" panose="02040503050406030204" pitchFamily="18" charset="0"/>
                  <a:ea typeface="+mn-ea"/>
                  <a:cs typeface="+mn-cs"/>
                </a:rPr>
                <a:t>𝑀𝑅_𝐶𝑎𝑂</a:t>
              </a:r>
              <a:r>
                <a:rPr lang="x-IV_mathan" sz="1100">
                  <a:solidFill>
                    <a:schemeClr val="dk1"/>
                  </a:solidFill>
                  <a:effectLst/>
                  <a:latin typeface="+mn-lt"/>
                  <a:ea typeface="+mn-ea"/>
                  <a:cs typeface="+mn-cs"/>
                </a:rPr>
                <a:t>= Molecular weight ratio of CO2/CaO</a:t>
              </a:r>
            </a:p>
            <a:p>
              <a:r>
                <a:rPr lang="x-IV_mathan" sz="1100" i="0">
                  <a:solidFill>
                    <a:schemeClr val="dk1"/>
                  </a:solidFill>
                  <a:effectLst/>
                  <a:latin typeface="Cambria Math" panose="02040503050406030204" pitchFamily="18" charset="0"/>
                  <a:ea typeface="+mn-ea"/>
                  <a:cs typeface="+mn-cs"/>
                </a:rPr>
                <a:t>𝐶𝑙𝑖_𝑀𝑔𝑂</a:t>
              </a:r>
              <a:r>
                <a:rPr lang="x-IV_mathan" sz="1100">
                  <a:solidFill>
                    <a:schemeClr val="dk1"/>
                  </a:solidFill>
                  <a:effectLst/>
                  <a:latin typeface="+mn-lt"/>
                  <a:ea typeface="+mn-ea"/>
                  <a:cs typeface="+mn-cs"/>
                </a:rPr>
                <a:t>= weight percent of MgO</a:t>
              </a:r>
            </a:p>
            <a:p>
              <a:r>
                <a:rPr lang="x-IV_mathan" sz="1100" i="0">
                  <a:solidFill>
                    <a:schemeClr val="dk1"/>
                  </a:solidFill>
                  <a:effectLst/>
                  <a:latin typeface="Cambria Math" panose="02040503050406030204" pitchFamily="18" charset="0"/>
                  <a:ea typeface="+mn-ea"/>
                  <a:cs typeface="+mn-cs"/>
                </a:rPr>
                <a:t>𝐶𝑙𝑖_𝑛𝑐𝑀𝑔𝑂</a:t>
              </a:r>
              <a:r>
                <a:rPr lang="x-IV_mathan" sz="1100">
                  <a:solidFill>
                    <a:schemeClr val="dk1"/>
                  </a:solidFill>
                  <a:effectLst/>
                  <a:latin typeface="+mn-lt"/>
                  <a:ea typeface="+mn-ea"/>
                  <a:cs typeface="+mn-cs"/>
                </a:rPr>
                <a:t>= weight percent of non-calcined MgO</a:t>
              </a:r>
            </a:p>
            <a:p>
              <a:r>
                <a:rPr lang="x-IV_mathan" sz="1100" i="0">
                  <a:solidFill>
                    <a:schemeClr val="dk1"/>
                  </a:solidFill>
                  <a:effectLst/>
                  <a:latin typeface="Cambria Math" panose="02040503050406030204" pitchFamily="18" charset="0"/>
                  <a:ea typeface="+mn-ea"/>
                  <a:cs typeface="+mn-cs"/>
                </a:rPr>
                <a:t>𝑀𝑅_𝑀𝑔𝑂</a:t>
              </a:r>
              <a:r>
                <a:rPr lang="x-IV_mathan" sz="1100">
                  <a:solidFill>
                    <a:schemeClr val="dk1"/>
                  </a:solidFill>
                  <a:effectLst/>
                  <a:latin typeface="+mn-lt"/>
                  <a:ea typeface="+mn-ea"/>
                  <a:cs typeface="+mn-cs"/>
                </a:rPr>
                <a:t>= Molecular weight ratio of CO2/MgO</a:t>
              </a:r>
            </a:p>
          </xdr:txBody>
        </xdr:sp>
      </mc:Fallback>
    </mc:AlternateContent>
    <xdr:clientData/>
  </xdr:twoCellAnchor>
  <xdr:twoCellAnchor>
    <xdr:from>
      <xdr:col>3</xdr:col>
      <xdr:colOff>221673</xdr:colOff>
      <xdr:row>20</xdr:row>
      <xdr:rowOff>20783</xdr:rowOff>
    </xdr:from>
    <xdr:to>
      <xdr:col>12</xdr:col>
      <xdr:colOff>214745</xdr:colOff>
      <xdr:row>29</xdr:row>
      <xdr:rowOff>145473</xdr:rowOff>
    </xdr:to>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F29E435A-E8A5-4AF0-83D4-65AE5E46437B}"/>
                </a:ext>
              </a:extLst>
            </xdr:cNvPr>
            <xdr:cNvSpPr txBox="1"/>
          </xdr:nvSpPr>
          <xdr:spPr>
            <a:xfrm>
              <a:off x="5223164" y="5174674"/>
              <a:ext cx="5479472" cy="1759526"/>
            </a:xfrm>
            <a:prstGeom prst="rect">
              <a:avLst/>
            </a:prstGeom>
            <a:solidFill>
              <a:srgbClr val="D9E1DD"/>
            </a:solidFill>
            <a:ln>
              <a:solidFill>
                <a:srgbClr val="233F2B"/>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rtl="0"/>
              <a14:m>
                <m:oMathPara xmlns:m="http://schemas.openxmlformats.org/officeDocument/2006/math">
                  <m:oMathParaPr>
                    <m:jc m:val="centerGroup"/>
                  </m:oMathParaPr>
                  <m:oMath xmlns:m="http://schemas.openxmlformats.org/officeDocument/2006/math">
                    <m:r>
                      <a:rPr lang="x-IV_mathan" sz="1200">
                        <a:solidFill>
                          <a:schemeClr val="dk1"/>
                        </a:solidFill>
                        <a:effectLst/>
                        <a:latin typeface="Cambria Math" panose="02040503050406030204" pitchFamily="18" charset="0"/>
                        <a:ea typeface="+mn-ea"/>
                        <a:cs typeface="+mn-cs"/>
                      </a:rPr>
                      <m:t>𝐸</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𝐹</m:t>
                        </m:r>
                      </m:e>
                      <m:sub>
                        <m:r>
                          <a:rPr lang="x-IV_mathan" sz="1200">
                            <a:solidFill>
                              <a:schemeClr val="dk1"/>
                            </a:solidFill>
                            <a:effectLst/>
                            <a:latin typeface="Cambria Math" panose="02040503050406030204" pitchFamily="18" charset="0"/>
                            <a:ea typeface="+mn-ea"/>
                            <a:cs typeface="+mn-cs"/>
                          </a:rPr>
                          <m:t>𝐶𝐾𝐷</m:t>
                        </m:r>
                      </m:sub>
                    </m:sSub>
                    <m:r>
                      <a:rPr lang="x-IV_mathan" sz="1200">
                        <a:solidFill>
                          <a:schemeClr val="dk1"/>
                        </a:solidFill>
                        <a:effectLst/>
                        <a:latin typeface="Cambria Math" panose="02040503050406030204" pitchFamily="18" charset="0"/>
                        <a:ea typeface="+mn-ea"/>
                        <a:cs typeface="+mn-cs"/>
                      </a:rPr>
                      <m:t>=</m:t>
                    </m:r>
                    <m:d>
                      <m:dPr>
                        <m:ctrlPr>
                          <a:rPr lang="x-IV_mathan" sz="1200" i="1">
                            <a:solidFill>
                              <a:schemeClr val="dk1"/>
                            </a:solidFill>
                            <a:effectLst/>
                            <a:latin typeface="Cambria Math" panose="02040503050406030204" pitchFamily="18" charset="0"/>
                            <a:ea typeface="+mn-ea"/>
                            <a:cs typeface="+mn-cs"/>
                          </a:rPr>
                        </m:ctrlPr>
                      </m:dPr>
                      <m:e>
                        <m:r>
                          <a:rPr lang="x-IV_mathan" sz="1200">
                            <a:solidFill>
                              <a:schemeClr val="dk1"/>
                            </a:solidFill>
                            <a:effectLst/>
                            <a:latin typeface="Cambria Math" panose="02040503050406030204" pitchFamily="18" charset="0"/>
                            <a:ea typeface="+mn-ea"/>
                            <a:cs typeface="+mn-cs"/>
                          </a:rPr>
                          <m:t>𝐶</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𝐾𝐷</m:t>
                            </m:r>
                          </m:e>
                          <m:sub>
                            <m:r>
                              <a:rPr lang="x-IV_mathan" sz="1200">
                                <a:solidFill>
                                  <a:schemeClr val="dk1"/>
                                </a:solidFill>
                                <a:effectLst/>
                                <a:latin typeface="Cambria Math" panose="02040503050406030204" pitchFamily="18" charset="0"/>
                                <a:ea typeface="+mn-ea"/>
                                <a:cs typeface="+mn-cs"/>
                              </a:rPr>
                              <m:t>𝐶𝑎𝑂</m:t>
                            </m:r>
                          </m:sub>
                        </m:sSub>
                        <m:r>
                          <a:rPr lang="x-IV_mathan" sz="1200">
                            <a:solidFill>
                              <a:schemeClr val="dk1"/>
                            </a:solidFill>
                            <a:effectLst/>
                            <a:latin typeface="Cambria Math" panose="02040503050406030204" pitchFamily="18" charset="0"/>
                            <a:ea typeface="+mn-ea"/>
                            <a:cs typeface="+mn-cs"/>
                          </a:rPr>
                          <m:t>−</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𝐶𝐾𝐷</m:t>
                            </m:r>
                          </m:e>
                          <m:sub>
                            <m:r>
                              <a:rPr lang="x-IV_mathan" sz="1200">
                                <a:solidFill>
                                  <a:schemeClr val="dk1"/>
                                </a:solidFill>
                                <a:effectLst/>
                                <a:latin typeface="Cambria Math" panose="02040503050406030204" pitchFamily="18" charset="0"/>
                                <a:ea typeface="+mn-ea"/>
                                <a:cs typeface="+mn-cs"/>
                              </a:rPr>
                              <m:t>𝑛𝑐𝐶𝑎𝑂</m:t>
                            </m:r>
                          </m:sub>
                        </m:sSub>
                      </m:e>
                    </m:d>
                    <m:r>
                      <a:rPr lang="x-IV_mathan" sz="1200">
                        <a:solidFill>
                          <a:schemeClr val="dk1"/>
                        </a:solidFill>
                        <a:effectLst/>
                        <a:latin typeface="Cambria Math" panose="02040503050406030204" pitchFamily="18" charset="0"/>
                        <a:ea typeface="+mn-ea"/>
                        <a:cs typeface="+mn-cs"/>
                      </a:rPr>
                      <m:t>∗</m:t>
                    </m:r>
                    <m:r>
                      <a:rPr lang="x-IV_mathan" sz="1200">
                        <a:solidFill>
                          <a:schemeClr val="dk1"/>
                        </a:solidFill>
                        <a:effectLst/>
                        <a:latin typeface="Cambria Math" panose="02040503050406030204" pitchFamily="18" charset="0"/>
                        <a:ea typeface="+mn-ea"/>
                        <a:cs typeface="+mn-cs"/>
                      </a:rPr>
                      <m:t>𝑀</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𝑅</m:t>
                        </m:r>
                      </m:e>
                      <m:sub>
                        <m:r>
                          <a:rPr lang="x-IV_mathan" sz="1200">
                            <a:solidFill>
                              <a:schemeClr val="dk1"/>
                            </a:solidFill>
                            <a:effectLst/>
                            <a:latin typeface="Cambria Math" panose="02040503050406030204" pitchFamily="18" charset="0"/>
                            <a:ea typeface="+mn-ea"/>
                            <a:cs typeface="+mn-cs"/>
                          </a:rPr>
                          <m:t>𝐶𝑎𝑂</m:t>
                        </m:r>
                      </m:sub>
                    </m:sSub>
                    <m:r>
                      <a:rPr lang="x-IV_mathan" sz="1200">
                        <a:solidFill>
                          <a:schemeClr val="dk1"/>
                        </a:solidFill>
                        <a:effectLst/>
                        <a:latin typeface="Cambria Math" panose="02040503050406030204" pitchFamily="18" charset="0"/>
                        <a:ea typeface="+mn-ea"/>
                        <a:cs typeface="+mn-cs"/>
                      </a:rPr>
                      <m:t>+</m:t>
                    </m:r>
                    <m:d>
                      <m:dPr>
                        <m:ctrlPr>
                          <a:rPr lang="x-IV_mathan" sz="1200" i="1">
                            <a:solidFill>
                              <a:schemeClr val="dk1"/>
                            </a:solidFill>
                            <a:effectLst/>
                            <a:latin typeface="Cambria Math" panose="02040503050406030204" pitchFamily="18" charset="0"/>
                            <a:ea typeface="+mn-ea"/>
                            <a:cs typeface="+mn-cs"/>
                          </a:rPr>
                        </m:ctrlPr>
                      </m:dPr>
                      <m:e>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𝐶𝐾𝐷</m:t>
                            </m:r>
                          </m:e>
                          <m:sub>
                            <m:r>
                              <a:rPr lang="x-IV_mathan" sz="1200">
                                <a:solidFill>
                                  <a:schemeClr val="dk1"/>
                                </a:solidFill>
                                <a:effectLst/>
                                <a:latin typeface="Cambria Math" panose="02040503050406030204" pitchFamily="18" charset="0"/>
                                <a:ea typeface="+mn-ea"/>
                                <a:cs typeface="+mn-cs"/>
                              </a:rPr>
                              <m:t>𝑀𝑔𝑂</m:t>
                            </m:r>
                          </m:sub>
                        </m:sSub>
                        <m:r>
                          <a:rPr lang="x-IV_mathan" sz="1200">
                            <a:solidFill>
                              <a:schemeClr val="dk1"/>
                            </a:solidFill>
                            <a:effectLst/>
                            <a:latin typeface="Cambria Math" panose="02040503050406030204" pitchFamily="18" charset="0"/>
                            <a:ea typeface="+mn-ea"/>
                            <a:cs typeface="+mn-cs"/>
                          </a:rPr>
                          <m:t>−</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𝐶𝐾𝐷</m:t>
                            </m:r>
                          </m:e>
                          <m:sub>
                            <m:r>
                              <a:rPr lang="x-IV_mathan" sz="1200">
                                <a:solidFill>
                                  <a:schemeClr val="dk1"/>
                                </a:solidFill>
                                <a:effectLst/>
                                <a:latin typeface="Cambria Math" panose="02040503050406030204" pitchFamily="18" charset="0"/>
                                <a:ea typeface="+mn-ea"/>
                                <a:cs typeface="+mn-cs"/>
                              </a:rPr>
                              <m:t>𝑛𝑐𝑀𝑔𝑂</m:t>
                            </m:r>
                          </m:sub>
                        </m:sSub>
                      </m:e>
                    </m:d>
                    <m:r>
                      <a:rPr lang="x-IV_mathan" sz="1200">
                        <a:solidFill>
                          <a:schemeClr val="dk1"/>
                        </a:solidFill>
                        <a:effectLst/>
                        <a:latin typeface="Cambria Math" panose="02040503050406030204" pitchFamily="18" charset="0"/>
                        <a:ea typeface="+mn-ea"/>
                        <a:cs typeface="+mn-cs"/>
                      </a:rPr>
                      <m:t>∗</m:t>
                    </m:r>
                    <m:r>
                      <a:rPr lang="x-IV_mathan" sz="1200">
                        <a:solidFill>
                          <a:schemeClr val="dk1"/>
                        </a:solidFill>
                        <a:effectLst/>
                        <a:latin typeface="Cambria Math" panose="02040503050406030204" pitchFamily="18" charset="0"/>
                        <a:ea typeface="+mn-ea"/>
                        <a:cs typeface="+mn-cs"/>
                      </a:rPr>
                      <m:t>𝑀</m:t>
                    </m:r>
                    <m:sSub>
                      <m:sSubPr>
                        <m:ctrlPr>
                          <a:rPr lang="x-IV_mathan" sz="1200" i="1">
                            <a:solidFill>
                              <a:schemeClr val="dk1"/>
                            </a:solidFill>
                            <a:effectLst/>
                            <a:latin typeface="Cambria Math" panose="02040503050406030204" pitchFamily="18" charset="0"/>
                            <a:ea typeface="+mn-ea"/>
                            <a:cs typeface="+mn-cs"/>
                          </a:rPr>
                        </m:ctrlPr>
                      </m:sSubPr>
                      <m:e>
                        <m:r>
                          <a:rPr lang="x-IV_mathan" sz="1200">
                            <a:solidFill>
                              <a:schemeClr val="dk1"/>
                            </a:solidFill>
                            <a:effectLst/>
                            <a:latin typeface="Cambria Math" panose="02040503050406030204" pitchFamily="18" charset="0"/>
                            <a:ea typeface="+mn-ea"/>
                            <a:cs typeface="+mn-cs"/>
                          </a:rPr>
                          <m:t>𝑅</m:t>
                        </m:r>
                      </m:e>
                      <m:sub>
                        <m:r>
                          <a:rPr lang="x-IV_mathan" sz="1200">
                            <a:solidFill>
                              <a:schemeClr val="dk1"/>
                            </a:solidFill>
                            <a:effectLst/>
                            <a:latin typeface="Cambria Math" panose="02040503050406030204" pitchFamily="18" charset="0"/>
                            <a:ea typeface="+mn-ea"/>
                            <a:cs typeface="+mn-cs"/>
                          </a:rPr>
                          <m:t>𝑀𝑔𝑂</m:t>
                        </m:r>
                      </m:sub>
                    </m:sSub>
                  </m:oMath>
                </m:oMathPara>
              </a14:m>
              <a:endParaRPr lang="x-IV_mathan" sz="1200">
                <a:solidFill>
                  <a:schemeClr val="dk1"/>
                </a:solidFill>
                <a:effectLst/>
                <a:latin typeface="+mn-lt"/>
                <a:ea typeface="+mn-ea"/>
                <a:cs typeface="+mn-cs"/>
              </a:endParaRPr>
            </a:p>
            <a:p>
              <a:pPr rtl="0"/>
              <a:endParaRPr lang="x-IV_mathan" sz="1200">
                <a:solidFill>
                  <a:schemeClr val="dk1"/>
                </a:solidFill>
                <a:effectLst/>
                <a:latin typeface="+mn-lt"/>
                <a:ea typeface="+mn-ea"/>
                <a:cs typeface="+mn-cs"/>
              </a:endParaRPr>
            </a:p>
            <a:p>
              <a:pPr rtl="0"/>
              <a14:m>
                <m:oMath xmlns:m="http://schemas.openxmlformats.org/officeDocument/2006/math">
                  <m:r>
                    <a:rPr lang="x-IV_mathan" sz="1100">
                      <a:solidFill>
                        <a:schemeClr val="dk1"/>
                      </a:solidFill>
                      <a:effectLst/>
                      <a:latin typeface="Cambria Math" panose="02040503050406030204" pitchFamily="18" charset="0"/>
                      <a:ea typeface="+mn-ea"/>
                      <a:cs typeface="+mn-cs"/>
                    </a:rPr>
                    <m:t>𝐸</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𝐹</m:t>
                      </m:r>
                    </m:e>
                    <m:sub>
                      <m:r>
                        <a:rPr lang="x-IV_mathan" sz="1100">
                          <a:solidFill>
                            <a:schemeClr val="dk1"/>
                          </a:solidFill>
                          <a:effectLst/>
                          <a:latin typeface="Cambria Math" panose="02040503050406030204" pitchFamily="18" charset="0"/>
                          <a:ea typeface="+mn-ea"/>
                          <a:cs typeface="+mn-cs"/>
                        </a:rPr>
                        <m:t>𝐶𝐾𝐷</m:t>
                      </m:r>
                    </m:sub>
                  </m:sSub>
                </m:oMath>
              </a14:m>
              <a:r>
                <a:rPr lang="x-IV_mathan" sz="1100" i="1">
                  <a:solidFill>
                    <a:schemeClr val="dk1"/>
                  </a:solidFill>
                  <a:effectLst/>
                  <a:latin typeface="+mn-lt"/>
                  <a:ea typeface="+mn-ea"/>
                  <a:cs typeface="+mn-cs"/>
                </a:rPr>
                <a:t> </a:t>
              </a:r>
              <a:r>
                <a:rPr lang="x-IV_mathan" sz="1100">
                  <a:solidFill>
                    <a:schemeClr val="dk1"/>
                  </a:solidFill>
                  <a:effectLst/>
                  <a:latin typeface="+mn-lt"/>
                  <a:ea typeface="+mn-ea"/>
                  <a:cs typeface="+mn-cs"/>
                </a:rPr>
                <a:t>= cement kiln dust emission factor</a:t>
              </a:r>
            </a:p>
            <a:p>
              <a:pPr rtl="0"/>
              <a14:m>
                <m:oMath xmlns:m="http://schemas.openxmlformats.org/officeDocument/2006/math">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𝐶𝐾𝐷</m:t>
                      </m:r>
                    </m:e>
                    <m:sub>
                      <m:r>
                        <a:rPr lang="x-IV_mathan" sz="1100">
                          <a:solidFill>
                            <a:schemeClr val="dk1"/>
                          </a:solidFill>
                          <a:effectLst/>
                          <a:latin typeface="Cambria Math" panose="02040503050406030204" pitchFamily="18" charset="0"/>
                          <a:ea typeface="+mn-ea"/>
                          <a:cs typeface="+mn-cs"/>
                        </a:rPr>
                        <m:t>𝐶𝑎𝑂</m:t>
                      </m:r>
                    </m:sub>
                  </m:sSub>
                </m:oMath>
              </a14:m>
              <a:r>
                <a:rPr lang="x-IV_mathan" sz="1100">
                  <a:solidFill>
                    <a:schemeClr val="dk1"/>
                  </a:solidFill>
                  <a:effectLst/>
                  <a:latin typeface="+mn-lt"/>
                  <a:ea typeface="+mn-ea"/>
                  <a:cs typeface="+mn-cs"/>
                </a:rPr>
                <a:t>= weight percent of CaO in cement kiln dust</a:t>
              </a:r>
            </a:p>
            <a:p>
              <a:pPr rtl="0"/>
              <a14:m>
                <m:oMath xmlns:m="http://schemas.openxmlformats.org/officeDocument/2006/math">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𝐶𝐾𝐷</m:t>
                      </m:r>
                    </m:e>
                    <m:sub>
                      <m:r>
                        <a:rPr lang="x-IV_mathan" sz="1100">
                          <a:solidFill>
                            <a:schemeClr val="dk1"/>
                          </a:solidFill>
                          <a:effectLst/>
                          <a:latin typeface="Cambria Math" panose="02040503050406030204" pitchFamily="18" charset="0"/>
                          <a:ea typeface="+mn-ea"/>
                          <a:cs typeface="+mn-cs"/>
                        </a:rPr>
                        <m:t>𝑛𝑐𝐶𝑎𝑂</m:t>
                      </m:r>
                    </m:sub>
                  </m:sSub>
                </m:oMath>
              </a14:m>
              <a:r>
                <a:rPr lang="x-IV_mathan" sz="1100">
                  <a:solidFill>
                    <a:schemeClr val="dk1"/>
                  </a:solidFill>
                  <a:effectLst/>
                  <a:latin typeface="+mn-lt"/>
                  <a:ea typeface="+mn-ea"/>
                  <a:cs typeface="+mn-cs"/>
                </a:rPr>
                <a:t> = weight percent of non-calcined CaO in cement kiln dust</a:t>
              </a:r>
            </a:p>
            <a:p>
              <a:pPr rtl="0"/>
              <a14:m>
                <m:oMath xmlns:m="http://schemas.openxmlformats.org/officeDocument/2006/math">
                  <m:r>
                    <a:rPr lang="x-IV_mathan" sz="1100">
                      <a:solidFill>
                        <a:schemeClr val="dk1"/>
                      </a:solidFill>
                      <a:effectLst/>
                      <a:latin typeface="Cambria Math" panose="02040503050406030204" pitchFamily="18" charset="0"/>
                      <a:ea typeface="+mn-ea"/>
                      <a:cs typeface="+mn-cs"/>
                    </a:rPr>
                    <m:t>𝑀</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𝑅</m:t>
                      </m:r>
                    </m:e>
                    <m:sub>
                      <m:r>
                        <a:rPr lang="x-IV_mathan" sz="1100">
                          <a:solidFill>
                            <a:schemeClr val="dk1"/>
                          </a:solidFill>
                          <a:effectLst/>
                          <a:latin typeface="Cambria Math" panose="02040503050406030204" pitchFamily="18" charset="0"/>
                          <a:ea typeface="+mn-ea"/>
                          <a:cs typeface="+mn-cs"/>
                        </a:rPr>
                        <m:t>𝐶𝑎𝑂</m:t>
                      </m:r>
                    </m:sub>
                  </m:sSub>
                </m:oMath>
              </a14:m>
              <a:r>
                <a:rPr lang="x-IV_mathan" sz="1100">
                  <a:solidFill>
                    <a:schemeClr val="dk1"/>
                  </a:solidFill>
                  <a:effectLst/>
                  <a:latin typeface="+mn-lt"/>
                  <a:ea typeface="+mn-ea"/>
                  <a:cs typeface="+mn-cs"/>
                </a:rPr>
                <a:t>= Molecular weight ratio of CO2/CaO</a:t>
              </a:r>
            </a:p>
            <a:p>
              <a:pPr rtl="0"/>
              <a14:m>
                <m:oMath xmlns:m="http://schemas.openxmlformats.org/officeDocument/2006/math">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𝐶𝐾𝐷</m:t>
                      </m:r>
                    </m:e>
                    <m:sub>
                      <m:r>
                        <a:rPr lang="x-IV_mathan" sz="1100">
                          <a:solidFill>
                            <a:schemeClr val="dk1"/>
                          </a:solidFill>
                          <a:effectLst/>
                          <a:latin typeface="Cambria Math" panose="02040503050406030204" pitchFamily="18" charset="0"/>
                          <a:ea typeface="+mn-ea"/>
                          <a:cs typeface="+mn-cs"/>
                        </a:rPr>
                        <m:t>𝑀𝑔𝑂</m:t>
                      </m:r>
                    </m:sub>
                  </m:sSub>
                </m:oMath>
              </a14:m>
              <a:r>
                <a:rPr lang="x-IV_mathan" sz="1100">
                  <a:solidFill>
                    <a:schemeClr val="dk1"/>
                  </a:solidFill>
                  <a:effectLst/>
                  <a:latin typeface="+mn-lt"/>
                  <a:ea typeface="+mn-ea"/>
                  <a:cs typeface="+mn-cs"/>
                </a:rPr>
                <a:t>= weight percent of MgO</a:t>
              </a:r>
            </a:p>
            <a:p>
              <a:pPr rtl="0"/>
              <a14:m>
                <m:oMath xmlns:m="http://schemas.openxmlformats.org/officeDocument/2006/math">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𝐶𝐾𝐷</m:t>
                      </m:r>
                    </m:e>
                    <m:sub>
                      <m:r>
                        <a:rPr lang="x-IV_mathan" sz="1100">
                          <a:solidFill>
                            <a:schemeClr val="dk1"/>
                          </a:solidFill>
                          <a:effectLst/>
                          <a:latin typeface="Cambria Math" panose="02040503050406030204" pitchFamily="18" charset="0"/>
                          <a:ea typeface="+mn-ea"/>
                          <a:cs typeface="+mn-cs"/>
                        </a:rPr>
                        <m:t>𝑛𝑐𝑀𝑔𝑂</m:t>
                      </m:r>
                    </m:sub>
                  </m:sSub>
                </m:oMath>
              </a14:m>
              <a:r>
                <a:rPr lang="x-IV_mathan" sz="1100">
                  <a:solidFill>
                    <a:schemeClr val="dk1"/>
                  </a:solidFill>
                  <a:effectLst/>
                  <a:latin typeface="+mn-lt"/>
                  <a:ea typeface="+mn-ea"/>
                  <a:cs typeface="+mn-cs"/>
                </a:rPr>
                <a:t>= weight percent of non-calcined MgO</a:t>
              </a:r>
            </a:p>
            <a:p>
              <a:pPr rtl="0"/>
              <a14:m>
                <m:oMath xmlns:m="http://schemas.openxmlformats.org/officeDocument/2006/math">
                  <m:r>
                    <a:rPr lang="x-IV_mathan" sz="1100">
                      <a:solidFill>
                        <a:schemeClr val="dk1"/>
                      </a:solidFill>
                      <a:effectLst/>
                      <a:latin typeface="Cambria Math" panose="02040503050406030204" pitchFamily="18" charset="0"/>
                      <a:ea typeface="+mn-ea"/>
                      <a:cs typeface="+mn-cs"/>
                    </a:rPr>
                    <m:t>𝑀</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𝑅</m:t>
                      </m:r>
                    </m:e>
                    <m:sub>
                      <m:r>
                        <a:rPr lang="x-IV_mathan" sz="1100">
                          <a:solidFill>
                            <a:schemeClr val="dk1"/>
                          </a:solidFill>
                          <a:effectLst/>
                          <a:latin typeface="Cambria Math" panose="02040503050406030204" pitchFamily="18" charset="0"/>
                          <a:ea typeface="+mn-ea"/>
                          <a:cs typeface="+mn-cs"/>
                        </a:rPr>
                        <m:t>𝑀𝑔𝑂</m:t>
                      </m:r>
                    </m:sub>
                  </m:sSub>
                </m:oMath>
              </a14:m>
              <a:r>
                <a:rPr lang="x-IV_mathan" sz="1100">
                  <a:solidFill>
                    <a:schemeClr val="dk1"/>
                  </a:solidFill>
                  <a:effectLst/>
                  <a:latin typeface="+mn-lt"/>
                  <a:ea typeface="+mn-ea"/>
                  <a:cs typeface="+mn-cs"/>
                </a:rPr>
                <a:t>= Molecular weight ratio of CO2/MgO</a:t>
              </a:r>
            </a:p>
            <a:p>
              <a:endParaRPr lang="x-IV_mathan" sz="1100">
                <a:solidFill>
                  <a:schemeClr val="dk1"/>
                </a:solidFill>
                <a:effectLst/>
                <a:latin typeface="+mn-lt"/>
                <a:ea typeface="+mn-ea"/>
                <a:cs typeface="+mn-cs"/>
              </a:endParaRPr>
            </a:p>
          </xdr:txBody>
        </xdr:sp>
      </mc:Choice>
      <mc:Fallback xmlns="">
        <xdr:sp macro="" textlink="">
          <xdr:nvSpPr>
            <xdr:cNvPr id="33" name="TextBox 32">
              <a:extLst>
                <a:ext uri="{FF2B5EF4-FFF2-40B4-BE49-F238E27FC236}">
                  <a16:creationId xmlns:a16="http://schemas.microsoft.com/office/drawing/2014/main" id="{F29E435A-E8A5-4AF0-83D4-65AE5E46437B}"/>
                </a:ext>
              </a:extLst>
            </xdr:cNvPr>
            <xdr:cNvSpPr txBox="1"/>
          </xdr:nvSpPr>
          <xdr:spPr>
            <a:xfrm>
              <a:off x="5223164" y="5174674"/>
              <a:ext cx="5479472" cy="1759526"/>
            </a:xfrm>
            <a:prstGeom prst="rect">
              <a:avLst/>
            </a:prstGeom>
            <a:solidFill>
              <a:srgbClr val="D9E1DD"/>
            </a:solidFill>
            <a:ln>
              <a:solidFill>
                <a:srgbClr val="233F2B"/>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rtl="0"/>
              <a:r>
                <a:rPr lang="x-IV_mathan" sz="1200" i="0">
                  <a:solidFill>
                    <a:schemeClr val="dk1"/>
                  </a:solidFill>
                  <a:effectLst/>
                  <a:latin typeface="Cambria Math" panose="02040503050406030204" pitchFamily="18" charset="0"/>
                  <a:ea typeface="+mn-ea"/>
                  <a:cs typeface="+mn-cs"/>
                </a:rPr>
                <a:t>𝐸𝐹_𝐶𝐾𝐷=(𝐶〖𝐾𝐷〗_𝐶𝑎𝑂−〖𝐶𝐾𝐷〗_𝑛𝑐𝐶𝑎𝑂 )∗𝑀𝑅_𝐶𝑎𝑂+(〖𝐶𝐾𝐷〗_𝑀𝑔𝑂−〖𝐶𝐾𝐷〗_𝑛𝑐𝑀𝑔𝑂 )∗𝑀𝑅_𝑀𝑔𝑂</a:t>
              </a:r>
              <a:endParaRPr lang="x-IV_mathan" sz="1200">
                <a:solidFill>
                  <a:schemeClr val="dk1"/>
                </a:solidFill>
                <a:effectLst/>
                <a:latin typeface="+mn-lt"/>
                <a:ea typeface="+mn-ea"/>
                <a:cs typeface="+mn-cs"/>
              </a:endParaRPr>
            </a:p>
            <a:p>
              <a:pPr rtl="0"/>
              <a:endParaRPr lang="x-IV_mathan" sz="1200">
                <a:solidFill>
                  <a:schemeClr val="dk1"/>
                </a:solidFill>
                <a:effectLst/>
                <a:latin typeface="+mn-lt"/>
                <a:ea typeface="+mn-ea"/>
                <a:cs typeface="+mn-cs"/>
              </a:endParaRPr>
            </a:p>
            <a:p>
              <a:pPr rtl="0"/>
              <a:r>
                <a:rPr lang="x-IV_mathan" sz="1100" i="0">
                  <a:solidFill>
                    <a:schemeClr val="dk1"/>
                  </a:solidFill>
                  <a:effectLst/>
                  <a:latin typeface="Cambria Math" panose="02040503050406030204" pitchFamily="18" charset="0"/>
                  <a:ea typeface="+mn-ea"/>
                  <a:cs typeface="+mn-cs"/>
                </a:rPr>
                <a:t>𝐸𝐹_𝐶𝐾𝐷</a:t>
              </a:r>
              <a:r>
                <a:rPr lang="x-IV_mathan" sz="1100" i="1">
                  <a:solidFill>
                    <a:schemeClr val="dk1"/>
                  </a:solidFill>
                  <a:effectLst/>
                  <a:latin typeface="+mn-lt"/>
                  <a:ea typeface="+mn-ea"/>
                  <a:cs typeface="+mn-cs"/>
                </a:rPr>
                <a:t> </a:t>
              </a:r>
              <a:r>
                <a:rPr lang="x-IV_mathan" sz="1100">
                  <a:solidFill>
                    <a:schemeClr val="dk1"/>
                  </a:solidFill>
                  <a:effectLst/>
                  <a:latin typeface="+mn-lt"/>
                  <a:ea typeface="+mn-ea"/>
                  <a:cs typeface="+mn-cs"/>
                </a:rPr>
                <a:t>= cement kiln dust emission factor</a:t>
              </a:r>
            </a:p>
            <a:p>
              <a:pPr rtl="0"/>
              <a:r>
                <a:rPr lang="x-IV_mathan" sz="1100" i="0">
                  <a:solidFill>
                    <a:schemeClr val="dk1"/>
                  </a:solidFill>
                  <a:effectLst/>
                  <a:latin typeface="Cambria Math" panose="02040503050406030204" pitchFamily="18" charset="0"/>
                  <a:ea typeface="+mn-ea"/>
                  <a:cs typeface="+mn-cs"/>
                </a:rPr>
                <a:t>〖𝐶𝐾𝐷〗_𝐶𝑎𝑂</a:t>
              </a:r>
              <a:r>
                <a:rPr lang="x-IV_mathan" sz="1100">
                  <a:solidFill>
                    <a:schemeClr val="dk1"/>
                  </a:solidFill>
                  <a:effectLst/>
                  <a:latin typeface="+mn-lt"/>
                  <a:ea typeface="+mn-ea"/>
                  <a:cs typeface="+mn-cs"/>
                </a:rPr>
                <a:t>= weight percent of CaO in cement kiln dust</a:t>
              </a:r>
            </a:p>
            <a:p>
              <a:pPr rtl="0"/>
              <a:r>
                <a:rPr lang="x-IV_mathan" sz="1100" i="0">
                  <a:solidFill>
                    <a:schemeClr val="dk1"/>
                  </a:solidFill>
                  <a:effectLst/>
                  <a:latin typeface="Cambria Math" panose="02040503050406030204" pitchFamily="18" charset="0"/>
                  <a:ea typeface="+mn-ea"/>
                  <a:cs typeface="+mn-cs"/>
                </a:rPr>
                <a:t>〖𝐶𝐾𝐷〗_𝑛𝑐𝐶𝑎𝑂</a:t>
              </a:r>
              <a:r>
                <a:rPr lang="x-IV_mathan" sz="1100">
                  <a:solidFill>
                    <a:schemeClr val="dk1"/>
                  </a:solidFill>
                  <a:effectLst/>
                  <a:latin typeface="+mn-lt"/>
                  <a:ea typeface="+mn-ea"/>
                  <a:cs typeface="+mn-cs"/>
                </a:rPr>
                <a:t> = weight percent of non-calcined CaO in cement kiln dust</a:t>
              </a:r>
            </a:p>
            <a:p>
              <a:pPr rtl="0"/>
              <a:r>
                <a:rPr lang="x-IV_mathan" sz="1100" i="0">
                  <a:solidFill>
                    <a:schemeClr val="dk1"/>
                  </a:solidFill>
                  <a:effectLst/>
                  <a:latin typeface="Cambria Math" panose="02040503050406030204" pitchFamily="18" charset="0"/>
                  <a:ea typeface="+mn-ea"/>
                  <a:cs typeface="+mn-cs"/>
                </a:rPr>
                <a:t>𝑀𝑅_𝐶𝑎𝑂</a:t>
              </a:r>
              <a:r>
                <a:rPr lang="x-IV_mathan" sz="1100">
                  <a:solidFill>
                    <a:schemeClr val="dk1"/>
                  </a:solidFill>
                  <a:effectLst/>
                  <a:latin typeface="+mn-lt"/>
                  <a:ea typeface="+mn-ea"/>
                  <a:cs typeface="+mn-cs"/>
                </a:rPr>
                <a:t>= Molecular weight ratio of CO2/CaO</a:t>
              </a:r>
            </a:p>
            <a:p>
              <a:pPr rtl="0"/>
              <a:r>
                <a:rPr lang="x-IV_mathan" sz="1100" i="0">
                  <a:solidFill>
                    <a:schemeClr val="dk1"/>
                  </a:solidFill>
                  <a:effectLst/>
                  <a:latin typeface="Cambria Math" panose="02040503050406030204" pitchFamily="18" charset="0"/>
                  <a:ea typeface="+mn-ea"/>
                  <a:cs typeface="+mn-cs"/>
                </a:rPr>
                <a:t>〖𝐶𝐾𝐷〗_𝑀𝑔𝑂</a:t>
              </a:r>
              <a:r>
                <a:rPr lang="x-IV_mathan" sz="1100">
                  <a:solidFill>
                    <a:schemeClr val="dk1"/>
                  </a:solidFill>
                  <a:effectLst/>
                  <a:latin typeface="+mn-lt"/>
                  <a:ea typeface="+mn-ea"/>
                  <a:cs typeface="+mn-cs"/>
                </a:rPr>
                <a:t>= weight percent of MgO</a:t>
              </a:r>
            </a:p>
            <a:p>
              <a:pPr rtl="0"/>
              <a:r>
                <a:rPr lang="x-IV_mathan" sz="1100" i="0">
                  <a:solidFill>
                    <a:schemeClr val="dk1"/>
                  </a:solidFill>
                  <a:effectLst/>
                  <a:latin typeface="Cambria Math" panose="02040503050406030204" pitchFamily="18" charset="0"/>
                  <a:ea typeface="+mn-ea"/>
                  <a:cs typeface="+mn-cs"/>
                </a:rPr>
                <a:t>〖𝐶𝐾𝐷〗_𝑛𝑐𝑀𝑔𝑂</a:t>
              </a:r>
              <a:r>
                <a:rPr lang="x-IV_mathan" sz="1100">
                  <a:solidFill>
                    <a:schemeClr val="dk1"/>
                  </a:solidFill>
                  <a:effectLst/>
                  <a:latin typeface="+mn-lt"/>
                  <a:ea typeface="+mn-ea"/>
                  <a:cs typeface="+mn-cs"/>
                </a:rPr>
                <a:t>= weight percent of non-calcined MgO</a:t>
              </a:r>
            </a:p>
            <a:p>
              <a:pPr rtl="0"/>
              <a:r>
                <a:rPr lang="x-IV_mathan" sz="1100" i="0">
                  <a:solidFill>
                    <a:schemeClr val="dk1"/>
                  </a:solidFill>
                  <a:effectLst/>
                  <a:latin typeface="Cambria Math" panose="02040503050406030204" pitchFamily="18" charset="0"/>
                  <a:ea typeface="+mn-ea"/>
                  <a:cs typeface="+mn-cs"/>
                </a:rPr>
                <a:t>𝑀𝑅_𝑀𝑔𝑂</a:t>
              </a:r>
              <a:r>
                <a:rPr lang="x-IV_mathan" sz="1100">
                  <a:solidFill>
                    <a:schemeClr val="dk1"/>
                  </a:solidFill>
                  <a:effectLst/>
                  <a:latin typeface="+mn-lt"/>
                  <a:ea typeface="+mn-ea"/>
                  <a:cs typeface="+mn-cs"/>
                </a:rPr>
                <a:t>= Molecular weight ratio of CO2/MgO</a:t>
              </a:r>
            </a:p>
            <a:p>
              <a:endParaRPr lang="x-IV_mathan" sz="1100">
                <a:solidFill>
                  <a:schemeClr val="dk1"/>
                </a:solidFill>
                <a:effectLst/>
                <a:latin typeface="+mn-lt"/>
                <a:ea typeface="+mn-ea"/>
                <a:cs typeface="+mn-cs"/>
              </a:endParaRPr>
            </a:p>
          </xdr:txBody>
        </xdr:sp>
      </mc:Fallback>
    </mc:AlternateContent>
    <xdr:clientData/>
  </xdr:twoCellAnchor>
  <xdr:twoCellAnchor>
    <xdr:from>
      <xdr:col>3</xdr:col>
      <xdr:colOff>228601</xdr:colOff>
      <xdr:row>31</xdr:row>
      <xdr:rowOff>69271</xdr:rowOff>
    </xdr:from>
    <xdr:to>
      <xdr:col>9</xdr:col>
      <xdr:colOff>117764</xdr:colOff>
      <xdr:row>40</xdr:row>
      <xdr:rowOff>138546</xdr:rowOff>
    </xdr:to>
    <mc:AlternateContent xmlns:mc="http://schemas.openxmlformats.org/markup-compatibility/2006" xmlns:a14="http://schemas.microsoft.com/office/drawing/2010/main">
      <mc:Choice Requires="a14">
        <xdr:sp macro="" textlink="">
          <xdr:nvSpPr>
            <xdr:cNvPr id="34" name="TextBox 33">
              <a:extLst>
                <a:ext uri="{FF2B5EF4-FFF2-40B4-BE49-F238E27FC236}">
                  <a16:creationId xmlns:a16="http://schemas.microsoft.com/office/drawing/2014/main" id="{FD2B7D68-6E93-E02B-37EE-ECBEC5AA80E3}"/>
                </a:ext>
              </a:extLst>
            </xdr:cNvPr>
            <xdr:cNvSpPr txBox="1"/>
          </xdr:nvSpPr>
          <xdr:spPr>
            <a:xfrm>
              <a:off x="5230092" y="7051962"/>
              <a:ext cx="3546763" cy="1690257"/>
            </a:xfrm>
            <a:prstGeom prst="rect">
              <a:avLst/>
            </a:prstGeom>
            <a:solidFill>
              <a:srgbClr val="D9E1DD"/>
            </a:solidFill>
            <a:ln w="1905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r>
                      <a:rPr lang="x-IV_mathan" sz="1100">
                        <a:solidFill>
                          <a:schemeClr val="dk1"/>
                        </a:solidFill>
                        <a:effectLst/>
                        <a:latin typeface="Cambria Math" panose="02040503050406030204" pitchFamily="18" charset="0"/>
                        <a:ea typeface="+mn-ea"/>
                        <a:cs typeface="+mn-cs"/>
                      </a:rPr>
                      <m:t>𝐶</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𝑂</m:t>
                        </m:r>
                      </m:e>
                      <m:sub>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2</m:t>
                            </m:r>
                          </m:e>
                          <m:sub>
                            <m:r>
                              <a:rPr lang="x-IV_mathan" sz="1100">
                                <a:solidFill>
                                  <a:schemeClr val="dk1"/>
                                </a:solidFill>
                                <a:effectLst/>
                                <a:latin typeface="Cambria Math" panose="02040503050406030204" pitchFamily="18" charset="0"/>
                                <a:ea typeface="+mn-ea"/>
                                <a:cs typeface="+mn-cs"/>
                              </a:rPr>
                              <m:t>𝑐𝑙𝑖</m:t>
                            </m:r>
                          </m:sub>
                        </m:sSub>
                      </m:sub>
                    </m:sSub>
                    <m:r>
                      <a:rPr lang="x-IV_mathan" sz="1100">
                        <a:solidFill>
                          <a:schemeClr val="dk1"/>
                        </a:solidFill>
                        <a:effectLst/>
                        <a:latin typeface="Cambria Math" panose="02040503050406030204" pitchFamily="18" charset="0"/>
                        <a:ea typeface="+mn-ea"/>
                        <a:cs typeface="+mn-cs"/>
                      </a:rPr>
                      <m:t>=</m:t>
                    </m:r>
                    <m:d>
                      <m:dPr>
                        <m:ctrlPr>
                          <a:rPr lang="x-IV_mathan" sz="1100" i="1">
                            <a:solidFill>
                              <a:schemeClr val="dk1"/>
                            </a:solidFill>
                            <a:effectLst/>
                            <a:latin typeface="Cambria Math" panose="02040503050406030204" pitchFamily="18" charset="0"/>
                            <a:ea typeface="+mn-ea"/>
                            <a:cs typeface="+mn-cs"/>
                          </a:rPr>
                        </m:ctrlPr>
                      </m:dPr>
                      <m:e>
                        <m:r>
                          <a:rPr lang="x-IV_mathan" sz="1100">
                            <a:solidFill>
                              <a:schemeClr val="dk1"/>
                            </a:solidFill>
                            <a:effectLst/>
                            <a:latin typeface="Cambria Math" panose="02040503050406030204" pitchFamily="18" charset="0"/>
                            <a:ea typeface="+mn-ea"/>
                            <a:cs typeface="+mn-cs"/>
                          </a:rPr>
                          <m:t>𝐶𝑙𝑖</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𝐸</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𝐹</m:t>
                            </m:r>
                          </m:e>
                          <m:sub>
                            <m:r>
                              <a:rPr lang="x-IV_mathan" sz="1100">
                                <a:solidFill>
                                  <a:schemeClr val="dk1"/>
                                </a:solidFill>
                                <a:effectLst/>
                                <a:latin typeface="Cambria Math" panose="02040503050406030204" pitchFamily="18" charset="0"/>
                                <a:ea typeface="+mn-ea"/>
                                <a:cs typeface="+mn-cs"/>
                              </a:rPr>
                              <m:t>𝐶𝑙𝑖</m:t>
                            </m:r>
                          </m:sub>
                        </m:sSub>
                        <m:r>
                          <a:rPr lang="x-IV_mathan" sz="1100">
                            <a:solidFill>
                              <a:schemeClr val="dk1"/>
                            </a:solidFill>
                            <a:effectLst/>
                            <a:latin typeface="Cambria Math" panose="02040503050406030204" pitchFamily="18" charset="0"/>
                            <a:ea typeface="+mn-ea"/>
                            <a:cs typeface="+mn-cs"/>
                          </a:rPr>
                          <m:t>∗</m:t>
                        </m:r>
                        <m:f>
                          <m:fPr>
                            <m:ctrlPr>
                              <a:rPr lang="x-IV_mathan" sz="1100" i="1">
                                <a:solidFill>
                                  <a:schemeClr val="dk1"/>
                                </a:solidFill>
                                <a:effectLst/>
                                <a:latin typeface="Cambria Math" panose="02040503050406030204" pitchFamily="18" charset="0"/>
                                <a:ea typeface="+mn-ea"/>
                                <a:cs typeface="+mn-cs"/>
                              </a:rPr>
                            </m:ctrlPr>
                          </m:fPr>
                          <m:num>
                            <m:r>
                              <a:rPr lang="x-IV_mathan" sz="1100">
                                <a:solidFill>
                                  <a:schemeClr val="dk1"/>
                                </a:solidFill>
                                <a:effectLst/>
                                <a:latin typeface="Cambria Math" panose="02040503050406030204" pitchFamily="18" charset="0"/>
                                <a:ea typeface="+mn-ea"/>
                                <a:cs typeface="+mn-cs"/>
                              </a:rPr>
                              <m:t>2000</m:t>
                            </m:r>
                          </m:num>
                          <m:den>
                            <m:r>
                              <a:rPr lang="x-IV_mathan" sz="1100">
                                <a:solidFill>
                                  <a:schemeClr val="dk1"/>
                                </a:solidFill>
                                <a:effectLst/>
                                <a:latin typeface="Cambria Math" panose="02040503050406030204" pitchFamily="18" charset="0"/>
                                <a:ea typeface="+mn-ea"/>
                                <a:cs typeface="+mn-cs"/>
                              </a:rPr>
                              <m:t>2205</m:t>
                            </m:r>
                          </m:den>
                        </m:f>
                      </m:e>
                    </m:d>
                    <m:r>
                      <a:rPr lang="x-IV_mathan" sz="1100">
                        <a:solidFill>
                          <a:schemeClr val="dk1"/>
                        </a:solidFill>
                        <a:effectLst/>
                        <a:latin typeface="Cambria Math" panose="02040503050406030204" pitchFamily="18" charset="0"/>
                        <a:ea typeface="+mn-ea"/>
                        <a:cs typeface="+mn-cs"/>
                      </a:rPr>
                      <m:t>+</m:t>
                    </m:r>
                    <m:d>
                      <m:dPr>
                        <m:ctrlPr>
                          <a:rPr lang="x-IV_mathan" sz="1100" i="1">
                            <a:solidFill>
                              <a:schemeClr val="dk1"/>
                            </a:solidFill>
                            <a:effectLst/>
                            <a:latin typeface="Cambria Math" panose="02040503050406030204" pitchFamily="18" charset="0"/>
                            <a:ea typeface="+mn-ea"/>
                            <a:cs typeface="+mn-cs"/>
                          </a:rPr>
                        </m:ctrlPr>
                      </m:dPr>
                      <m:e>
                        <m:r>
                          <a:rPr lang="x-IV_mathan" sz="1100">
                            <a:solidFill>
                              <a:schemeClr val="dk1"/>
                            </a:solidFill>
                            <a:effectLst/>
                            <a:latin typeface="Cambria Math" panose="02040503050406030204" pitchFamily="18" charset="0"/>
                            <a:ea typeface="+mn-ea"/>
                            <a:cs typeface="+mn-cs"/>
                          </a:rPr>
                          <m:t>𝐶𝐾𝐷</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𝐸</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𝐹</m:t>
                            </m:r>
                          </m:e>
                          <m:sub>
                            <m:r>
                              <a:rPr lang="x-IV_mathan" sz="1100">
                                <a:solidFill>
                                  <a:schemeClr val="dk1"/>
                                </a:solidFill>
                                <a:effectLst/>
                                <a:latin typeface="Cambria Math" panose="02040503050406030204" pitchFamily="18" charset="0"/>
                                <a:ea typeface="+mn-ea"/>
                                <a:cs typeface="+mn-cs"/>
                              </a:rPr>
                              <m:t>𝐶𝐾𝐷</m:t>
                            </m:r>
                          </m:sub>
                        </m:sSub>
                        <m:r>
                          <a:rPr lang="x-IV_mathan" sz="1100">
                            <a:solidFill>
                              <a:schemeClr val="dk1"/>
                            </a:solidFill>
                            <a:effectLst/>
                            <a:latin typeface="Cambria Math" panose="02040503050406030204" pitchFamily="18" charset="0"/>
                            <a:ea typeface="+mn-ea"/>
                            <a:cs typeface="+mn-cs"/>
                          </a:rPr>
                          <m:t>∗</m:t>
                        </m:r>
                        <m:f>
                          <m:fPr>
                            <m:ctrlPr>
                              <a:rPr lang="x-IV_mathan" sz="1100" i="1">
                                <a:solidFill>
                                  <a:schemeClr val="dk1"/>
                                </a:solidFill>
                                <a:effectLst/>
                                <a:latin typeface="Cambria Math" panose="02040503050406030204" pitchFamily="18" charset="0"/>
                                <a:ea typeface="+mn-ea"/>
                                <a:cs typeface="+mn-cs"/>
                              </a:rPr>
                            </m:ctrlPr>
                          </m:fPr>
                          <m:num>
                            <m:r>
                              <a:rPr lang="x-IV_mathan" sz="1100">
                                <a:solidFill>
                                  <a:schemeClr val="dk1"/>
                                </a:solidFill>
                                <a:effectLst/>
                                <a:latin typeface="Cambria Math" panose="02040503050406030204" pitchFamily="18" charset="0"/>
                                <a:ea typeface="+mn-ea"/>
                                <a:cs typeface="+mn-cs"/>
                              </a:rPr>
                              <m:t>2000</m:t>
                            </m:r>
                          </m:num>
                          <m:den>
                            <m:r>
                              <a:rPr lang="x-IV_mathan" sz="1100">
                                <a:solidFill>
                                  <a:schemeClr val="dk1"/>
                                </a:solidFill>
                                <a:effectLst/>
                                <a:latin typeface="Cambria Math" panose="02040503050406030204" pitchFamily="18" charset="0"/>
                                <a:ea typeface="+mn-ea"/>
                                <a:cs typeface="+mn-cs"/>
                              </a:rPr>
                              <m:t>2205</m:t>
                            </m:r>
                          </m:den>
                        </m:f>
                      </m:e>
                    </m:d>
                  </m:oMath>
                </m:oMathPara>
              </a14:m>
              <a:endParaRPr lang="x-IV_mathan"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14:m>
                <m:oMath xmlns:m="http://schemas.openxmlformats.org/officeDocument/2006/math">
                  <m:r>
                    <a:rPr lang="en-US" sz="1100">
                      <a:solidFill>
                        <a:schemeClr val="dk1"/>
                      </a:solidFill>
                      <a:effectLst/>
                      <a:latin typeface="Cambria Math" panose="02040503050406030204" pitchFamily="18" charset="0"/>
                      <a:ea typeface="+mn-ea"/>
                      <a:cs typeface="+mn-cs"/>
                    </a:rPr>
                    <m:t>𝐶</m:t>
                  </m:r>
                  <m:sSub>
                    <m:sSubPr>
                      <m:ctrlPr>
                        <a:rPr lang="en-US" sz="1100" i="1">
                          <a:solidFill>
                            <a:schemeClr val="dk1"/>
                          </a:solidFill>
                          <a:effectLst/>
                          <a:latin typeface="Cambria Math" panose="02040503050406030204" pitchFamily="18" charset="0"/>
                          <a:ea typeface="+mn-ea"/>
                          <a:cs typeface="+mn-cs"/>
                        </a:rPr>
                      </m:ctrlPr>
                    </m:sSubPr>
                    <m:e>
                      <m:r>
                        <a:rPr lang="en-US" sz="1100">
                          <a:solidFill>
                            <a:schemeClr val="dk1"/>
                          </a:solidFill>
                          <a:effectLst/>
                          <a:latin typeface="Cambria Math" panose="02040503050406030204" pitchFamily="18" charset="0"/>
                          <a:ea typeface="+mn-ea"/>
                          <a:cs typeface="+mn-cs"/>
                        </a:rPr>
                        <m:t>𝑂</m:t>
                      </m:r>
                    </m:e>
                    <m:sub>
                      <m:sSub>
                        <m:sSubPr>
                          <m:ctrlPr>
                            <a:rPr lang="en-US" sz="1100" i="1">
                              <a:solidFill>
                                <a:schemeClr val="dk1"/>
                              </a:solidFill>
                              <a:effectLst/>
                              <a:latin typeface="Cambria Math" panose="02040503050406030204" pitchFamily="18" charset="0"/>
                              <a:ea typeface="+mn-ea"/>
                              <a:cs typeface="+mn-cs"/>
                            </a:rPr>
                          </m:ctrlPr>
                        </m:sSubPr>
                        <m:e>
                          <m:r>
                            <a:rPr lang="en-US" sz="1100">
                              <a:solidFill>
                                <a:schemeClr val="dk1"/>
                              </a:solidFill>
                              <a:effectLst/>
                              <a:latin typeface="Cambria Math" panose="02040503050406030204" pitchFamily="18" charset="0"/>
                              <a:ea typeface="+mn-ea"/>
                              <a:cs typeface="+mn-cs"/>
                            </a:rPr>
                            <m:t>2</m:t>
                          </m:r>
                        </m:e>
                        <m:sub>
                          <m:r>
                            <a:rPr lang="en-US" sz="1100">
                              <a:solidFill>
                                <a:schemeClr val="dk1"/>
                              </a:solidFill>
                              <a:effectLst/>
                              <a:latin typeface="Cambria Math" panose="02040503050406030204" pitchFamily="18" charset="0"/>
                              <a:ea typeface="+mn-ea"/>
                              <a:cs typeface="+mn-cs"/>
                            </a:rPr>
                            <m:t>𝑐𝑙𝑖</m:t>
                          </m:r>
                        </m:sub>
                      </m:sSub>
                    </m:sub>
                  </m:sSub>
                </m:oMath>
              </a14:m>
              <a:r>
                <a:rPr lang="en-US" sz="1100">
                  <a:solidFill>
                    <a:schemeClr val="dk1"/>
                  </a:solidFill>
                  <a:effectLst/>
                  <a:latin typeface="+mn-lt"/>
                  <a:ea typeface="+mn-ea"/>
                  <a:cs typeface="+mn-cs"/>
                </a:rPr>
                <a:t>= CO2 emissions from clinker production (metric tons)</a:t>
              </a:r>
            </a:p>
            <a:p>
              <a14:m>
                <m:oMath xmlns:m="http://schemas.openxmlformats.org/officeDocument/2006/math">
                  <m:r>
                    <a:rPr lang="en-US" sz="1100">
                      <a:solidFill>
                        <a:schemeClr val="dk1"/>
                      </a:solidFill>
                      <a:effectLst/>
                      <a:latin typeface="Cambria Math" panose="02040503050406030204" pitchFamily="18" charset="0"/>
                      <a:ea typeface="+mn-ea"/>
                      <a:cs typeface="+mn-cs"/>
                    </a:rPr>
                    <m:t>𝐶𝑙𝑖</m:t>
                  </m:r>
                </m:oMath>
              </a14:m>
              <a:r>
                <a:rPr lang="en-US" sz="1100">
                  <a:solidFill>
                    <a:schemeClr val="dk1"/>
                  </a:solidFill>
                  <a:effectLst/>
                  <a:latin typeface="+mn-lt"/>
                  <a:ea typeface="+mn-ea"/>
                  <a:cs typeface="+mn-cs"/>
                </a:rPr>
                <a:t> = quantity of clinker produced (tons)</a:t>
              </a:r>
            </a:p>
            <a:p>
              <a14:m>
                <m:oMath xmlns:m="http://schemas.openxmlformats.org/officeDocument/2006/math">
                  <m:r>
                    <a:rPr lang="en-US" sz="1100">
                      <a:solidFill>
                        <a:schemeClr val="dk1"/>
                      </a:solidFill>
                      <a:effectLst/>
                      <a:latin typeface="Cambria Math" panose="02040503050406030204" pitchFamily="18" charset="0"/>
                      <a:ea typeface="+mn-ea"/>
                      <a:cs typeface="+mn-cs"/>
                    </a:rPr>
                    <m:t>𝐶𝐾𝐷</m:t>
                  </m:r>
                </m:oMath>
              </a14:m>
              <a:r>
                <a:rPr lang="en-US" sz="1100">
                  <a:solidFill>
                    <a:schemeClr val="dk1"/>
                  </a:solidFill>
                  <a:effectLst/>
                  <a:latin typeface="+mn-lt"/>
                  <a:ea typeface="+mn-ea"/>
                  <a:cs typeface="+mn-cs"/>
                </a:rPr>
                <a:t>= quantity of kiln dust not recycled (tons)</a:t>
              </a:r>
            </a:p>
            <a:p>
              <a14:m>
                <m:oMath xmlns:m="http://schemas.openxmlformats.org/officeDocument/2006/math">
                  <m:d>
                    <m:dPr>
                      <m:ctrlPr>
                        <a:rPr lang="en-US" sz="1100" i="1">
                          <a:solidFill>
                            <a:schemeClr val="dk1"/>
                          </a:solidFill>
                          <a:effectLst/>
                          <a:latin typeface="Cambria Math" panose="02040503050406030204" pitchFamily="18" charset="0"/>
                          <a:ea typeface="+mn-ea"/>
                          <a:cs typeface="+mn-cs"/>
                        </a:rPr>
                      </m:ctrlPr>
                    </m:dPr>
                    <m:e>
                      <m:f>
                        <m:fPr>
                          <m:ctrlPr>
                            <a:rPr lang="en-US" sz="1100" i="1">
                              <a:solidFill>
                                <a:schemeClr val="dk1"/>
                              </a:solidFill>
                              <a:effectLst/>
                              <a:latin typeface="Cambria Math" panose="02040503050406030204" pitchFamily="18" charset="0"/>
                              <a:ea typeface="+mn-ea"/>
                              <a:cs typeface="+mn-cs"/>
                            </a:rPr>
                          </m:ctrlPr>
                        </m:fPr>
                        <m:num>
                          <m:r>
                            <a:rPr lang="en-US" sz="1100">
                              <a:solidFill>
                                <a:schemeClr val="dk1"/>
                              </a:solidFill>
                              <a:effectLst/>
                              <a:latin typeface="Cambria Math" panose="02040503050406030204" pitchFamily="18" charset="0"/>
                              <a:ea typeface="+mn-ea"/>
                              <a:cs typeface="+mn-cs"/>
                            </a:rPr>
                            <m:t>2000</m:t>
                          </m:r>
                        </m:num>
                        <m:den>
                          <m:r>
                            <a:rPr lang="en-US" sz="1100">
                              <a:solidFill>
                                <a:schemeClr val="dk1"/>
                              </a:solidFill>
                              <a:effectLst/>
                              <a:latin typeface="Cambria Math" panose="02040503050406030204" pitchFamily="18" charset="0"/>
                              <a:ea typeface="+mn-ea"/>
                              <a:cs typeface="+mn-cs"/>
                            </a:rPr>
                            <m:t>2205</m:t>
                          </m:r>
                        </m:den>
                      </m:f>
                    </m:e>
                  </m:d>
                </m:oMath>
              </a14:m>
              <a:r>
                <a:rPr lang="en-US" sz="1100">
                  <a:solidFill>
                    <a:schemeClr val="dk1"/>
                  </a:solidFill>
                  <a:effectLst/>
                  <a:latin typeface="+mn-lt"/>
                  <a:ea typeface="+mn-ea"/>
                  <a:cs typeface="+mn-cs"/>
                </a:rPr>
                <a:t>= conversion from short tons to metric tons</a:t>
              </a:r>
            </a:p>
            <a:p>
              <a:endParaRPr lang="en-US" sz="1100"/>
            </a:p>
          </xdr:txBody>
        </xdr:sp>
      </mc:Choice>
      <mc:Fallback xmlns="">
        <xdr:sp macro="" textlink="">
          <xdr:nvSpPr>
            <xdr:cNvPr id="34" name="TextBox 33">
              <a:extLst>
                <a:ext uri="{FF2B5EF4-FFF2-40B4-BE49-F238E27FC236}">
                  <a16:creationId xmlns:a16="http://schemas.microsoft.com/office/drawing/2014/main" id="{FD2B7D68-6E93-E02B-37EE-ECBEC5AA80E3}"/>
                </a:ext>
              </a:extLst>
            </xdr:cNvPr>
            <xdr:cNvSpPr txBox="1"/>
          </xdr:nvSpPr>
          <xdr:spPr>
            <a:xfrm>
              <a:off x="5230092" y="7051962"/>
              <a:ext cx="3546763" cy="1690257"/>
            </a:xfrm>
            <a:prstGeom prst="rect">
              <a:avLst/>
            </a:prstGeom>
            <a:solidFill>
              <a:srgbClr val="D9E1DD"/>
            </a:solidFill>
            <a:ln w="1905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x-IV_mathan" sz="1100" i="0">
                  <a:solidFill>
                    <a:schemeClr val="dk1"/>
                  </a:solidFill>
                  <a:effectLst/>
                  <a:latin typeface="Cambria Math" panose="02040503050406030204" pitchFamily="18" charset="0"/>
                  <a:ea typeface="+mn-ea"/>
                  <a:cs typeface="+mn-cs"/>
                </a:rPr>
                <a:t>𝐶𝑂_(2_𝑐𝑙𝑖 )=(𝐶𝑙𝑖∗𝐸𝐹_𝐶𝑙𝑖∗2000/2205)+(𝐶𝐾𝐷∗𝐸𝐹_𝐶𝐾𝐷∗2000/2205)</a:t>
              </a:r>
              <a:endParaRPr lang="x-IV_mathan"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i="0">
                  <a:solidFill>
                    <a:schemeClr val="dk1"/>
                  </a:solidFill>
                  <a:effectLst/>
                  <a:latin typeface="Cambria Math" panose="02040503050406030204" pitchFamily="18" charset="0"/>
                  <a:ea typeface="+mn-ea"/>
                  <a:cs typeface="+mn-cs"/>
                </a:rPr>
                <a:t>𝐶𝑂_(2_𝑐𝑙𝑖 )</a:t>
              </a:r>
              <a:r>
                <a:rPr lang="en-US" sz="1100">
                  <a:solidFill>
                    <a:schemeClr val="dk1"/>
                  </a:solidFill>
                  <a:effectLst/>
                  <a:latin typeface="+mn-lt"/>
                  <a:ea typeface="+mn-ea"/>
                  <a:cs typeface="+mn-cs"/>
                </a:rPr>
                <a:t>= CO2 emissions from clinker production (metric tons)</a:t>
              </a:r>
            </a:p>
            <a:p>
              <a:r>
                <a:rPr lang="en-US" sz="1100" i="0">
                  <a:solidFill>
                    <a:schemeClr val="dk1"/>
                  </a:solidFill>
                  <a:effectLst/>
                  <a:latin typeface="Cambria Math" panose="02040503050406030204" pitchFamily="18" charset="0"/>
                  <a:ea typeface="+mn-ea"/>
                  <a:cs typeface="+mn-cs"/>
                </a:rPr>
                <a:t>𝐶𝑙𝑖</a:t>
              </a:r>
              <a:r>
                <a:rPr lang="en-US" sz="1100">
                  <a:solidFill>
                    <a:schemeClr val="dk1"/>
                  </a:solidFill>
                  <a:effectLst/>
                  <a:latin typeface="+mn-lt"/>
                  <a:ea typeface="+mn-ea"/>
                  <a:cs typeface="+mn-cs"/>
                </a:rPr>
                <a:t> = quantity of clinker produced (tons)</a:t>
              </a:r>
            </a:p>
            <a:p>
              <a:r>
                <a:rPr lang="en-US" sz="1100" i="0">
                  <a:solidFill>
                    <a:schemeClr val="dk1"/>
                  </a:solidFill>
                  <a:effectLst/>
                  <a:latin typeface="Cambria Math" panose="02040503050406030204" pitchFamily="18" charset="0"/>
                  <a:ea typeface="+mn-ea"/>
                  <a:cs typeface="+mn-cs"/>
                </a:rPr>
                <a:t>𝐶𝐾𝐷</a:t>
              </a:r>
              <a:r>
                <a:rPr lang="en-US" sz="1100">
                  <a:solidFill>
                    <a:schemeClr val="dk1"/>
                  </a:solidFill>
                  <a:effectLst/>
                  <a:latin typeface="+mn-lt"/>
                  <a:ea typeface="+mn-ea"/>
                  <a:cs typeface="+mn-cs"/>
                </a:rPr>
                <a:t>= quantity of kiln dust not recycled (tons)</a:t>
              </a:r>
            </a:p>
            <a:p>
              <a:r>
                <a:rPr lang="en-US" sz="1100" i="0">
                  <a:solidFill>
                    <a:schemeClr val="dk1"/>
                  </a:solidFill>
                  <a:effectLst/>
                  <a:latin typeface="Cambria Math" panose="02040503050406030204" pitchFamily="18" charset="0"/>
                  <a:ea typeface="+mn-ea"/>
                  <a:cs typeface="+mn-cs"/>
                </a:rPr>
                <a:t>(2000/2205)</a:t>
              </a:r>
              <a:r>
                <a:rPr lang="en-US" sz="1100">
                  <a:solidFill>
                    <a:schemeClr val="dk1"/>
                  </a:solidFill>
                  <a:effectLst/>
                  <a:latin typeface="+mn-lt"/>
                  <a:ea typeface="+mn-ea"/>
                  <a:cs typeface="+mn-cs"/>
                </a:rPr>
                <a:t>= conversion from short tons to metric tons</a:t>
              </a:r>
            </a:p>
            <a:p>
              <a:endParaRPr lang="en-US" sz="1100"/>
            </a:p>
          </xdr:txBody>
        </xdr:sp>
      </mc:Fallback>
    </mc:AlternateContent>
    <xdr:clientData/>
  </xdr:twoCellAnchor>
  <xdr:twoCellAnchor>
    <xdr:from>
      <xdr:col>9</xdr:col>
      <xdr:colOff>200891</xdr:colOff>
      <xdr:row>31</xdr:row>
      <xdr:rowOff>62345</xdr:rowOff>
    </xdr:from>
    <xdr:to>
      <xdr:col>14</xdr:col>
      <xdr:colOff>187036</xdr:colOff>
      <xdr:row>40</xdr:row>
      <xdr:rowOff>138545</xdr:rowOff>
    </xdr:to>
    <mc:AlternateContent xmlns:mc="http://schemas.openxmlformats.org/markup-compatibility/2006" xmlns:a14="http://schemas.microsoft.com/office/drawing/2010/main">
      <mc:Choice Requires="a14">
        <xdr:sp macro="" textlink="">
          <xdr:nvSpPr>
            <xdr:cNvPr id="36" name="TextBox 35">
              <a:extLst>
                <a:ext uri="{FF2B5EF4-FFF2-40B4-BE49-F238E27FC236}">
                  <a16:creationId xmlns:a16="http://schemas.microsoft.com/office/drawing/2014/main" id="{75CE669B-1ACC-4043-BC7B-4081F196DE13}"/>
                </a:ext>
              </a:extLst>
            </xdr:cNvPr>
            <xdr:cNvSpPr txBox="1"/>
          </xdr:nvSpPr>
          <xdr:spPr>
            <a:xfrm>
              <a:off x="8859982" y="7045036"/>
              <a:ext cx="3034145" cy="1697182"/>
            </a:xfrm>
            <a:prstGeom prst="rect">
              <a:avLst/>
            </a:prstGeom>
            <a:solidFill>
              <a:srgbClr val="D9E1DD"/>
            </a:solidFill>
            <a:ln w="1905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r>
                      <a:rPr lang="x-IV_mathan" sz="1100">
                        <a:solidFill>
                          <a:schemeClr val="dk1"/>
                        </a:solidFill>
                        <a:effectLst/>
                        <a:latin typeface="Cambria Math" panose="02040503050406030204" pitchFamily="18" charset="0"/>
                        <a:ea typeface="+mn-ea"/>
                        <a:cs typeface="+mn-cs"/>
                      </a:rPr>
                      <m:t>𝐶</m:t>
                    </m:r>
                    <m:sSub>
                      <m:sSubPr>
                        <m:ctrlPr>
                          <a:rPr lang="x-IV_mathan" sz="1100" i="1">
                            <a:solidFill>
                              <a:schemeClr val="dk1"/>
                            </a:solidFill>
                            <a:effectLst/>
                            <a:latin typeface="Cambria Math" panose="02040503050406030204" pitchFamily="18" charset="0"/>
                            <a:ea typeface="+mn-ea"/>
                            <a:cs typeface="+mn-cs"/>
                          </a:rPr>
                        </m:ctrlPr>
                      </m:sSubPr>
                      <m:e>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𝑂</m:t>
                            </m:r>
                          </m:e>
                          <m:sub>
                            <m:r>
                              <a:rPr lang="x-IV_mathan" sz="1100">
                                <a:solidFill>
                                  <a:schemeClr val="dk1"/>
                                </a:solidFill>
                                <a:effectLst/>
                                <a:latin typeface="Cambria Math" panose="02040503050406030204" pitchFamily="18" charset="0"/>
                                <a:ea typeface="+mn-ea"/>
                                <a:cs typeface="+mn-cs"/>
                              </a:rPr>
                              <m:t>2</m:t>
                            </m:r>
                          </m:sub>
                        </m:sSub>
                      </m:e>
                      <m:sub>
                        <m:r>
                          <a:rPr lang="x-IV_mathan" sz="1100">
                            <a:solidFill>
                              <a:schemeClr val="dk1"/>
                            </a:solidFill>
                            <a:effectLst/>
                            <a:latin typeface="Cambria Math" panose="02040503050406030204" pitchFamily="18" charset="0"/>
                            <a:ea typeface="+mn-ea"/>
                            <a:cs typeface="+mn-cs"/>
                          </a:rPr>
                          <m:t>𝑟𝑚</m:t>
                        </m:r>
                      </m:sub>
                    </m:sSub>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𝑟𝑚</m:t>
                    </m:r>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𝑇𝑂</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𝐶</m:t>
                        </m:r>
                      </m:e>
                      <m:sub>
                        <m:r>
                          <a:rPr lang="x-IV_mathan" sz="1100">
                            <a:solidFill>
                              <a:schemeClr val="dk1"/>
                            </a:solidFill>
                            <a:effectLst/>
                            <a:latin typeface="Cambria Math" panose="02040503050406030204" pitchFamily="18" charset="0"/>
                            <a:ea typeface="+mn-ea"/>
                            <a:cs typeface="+mn-cs"/>
                          </a:rPr>
                          <m:t>𝑟𝑚</m:t>
                        </m:r>
                      </m:sub>
                    </m:sSub>
                    <m:r>
                      <a:rPr lang="x-IV_mathan" sz="1100">
                        <a:solidFill>
                          <a:schemeClr val="dk1"/>
                        </a:solidFill>
                        <a:effectLst/>
                        <a:latin typeface="Cambria Math" panose="02040503050406030204" pitchFamily="18" charset="0"/>
                        <a:ea typeface="+mn-ea"/>
                        <a:cs typeface="+mn-cs"/>
                      </a:rPr>
                      <m:t>∗</m:t>
                    </m:r>
                    <m:f>
                      <m:fPr>
                        <m:ctrlPr>
                          <a:rPr lang="x-IV_mathan" sz="1100" i="1">
                            <a:solidFill>
                              <a:schemeClr val="dk1"/>
                            </a:solidFill>
                            <a:effectLst/>
                            <a:latin typeface="Cambria Math" panose="02040503050406030204" pitchFamily="18" charset="0"/>
                            <a:ea typeface="+mn-ea"/>
                            <a:cs typeface="+mn-cs"/>
                          </a:rPr>
                        </m:ctrlPr>
                      </m:fPr>
                      <m:num>
                        <m:r>
                          <a:rPr lang="x-IV_mathan" sz="1100">
                            <a:solidFill>
                              <a:schemeClr val="dk1"/>
                            </a:solidFill>
                            <a:effectLst/>
                            <a:latin typeface="Cambria Math" panose="02040503050406030204" pitchFamily="18" charset="0"/>
                            <a:ea typeface="+mn-ea"/>
                            <a:cs typeface="+mn-cs"/>
                          </a:rPr>
                          <m:t>44</m:t>
                        </m:r>
                      </m:num>
                      <m:den>
                        <m:r>
                          <a:rPr lang="x-IV_mathan" sz="1100">
                            <a:solidFill>
                              <a:schemeClr val="dk1"/>
                            </a:solidFill>
                            <a:effectLst/>
                            <a:latin typeface="Cambria Math" panose="02040503050406030204" pitchFamily="18" charset="0"/>
                            <a:ea typeface="+mn-ea"/>
                            <a:cs typeface="+mn-cs"/>
                          </a:rPr>
                          <m:t>12</m:t>
                        </m:r>
                      </m:den>
                    </m:f>
                    <m:r>
                      <a:rPr lang="x-IV_mathan" sz="1100">
                        <a:solidFill>
                          <a:schemeClr val="dk1"/>
                        </a:solidFill>
                        <a:effectLst/>
                        <a:latin typeface="Cambria Math" panose="02040503050406030204" pitchFamily="18" charset="0"/>
                        <a:ea typeface="+mn-ea"/>
                        <a:cs typeface="+mn-cs"/>
                      </a:rPr>
                      <m:t>∗</m:t>
                    </m:r>
                    <m:f>
                      <m:fPr>
                        <m:ctrlPr>
                          <a:rPr lang="x-IV_mathan" sz="1100" i="1">
                            <a:solidFill>
                              <a:schemeClr val="dk1"/>
                            </a:solidFill>
                            <a:effectLst/>
                            <a:latin typeface="Cambria Math" panose="02040503050406030204" pitchFamily="18" charset="0"/>
                            <a:ea typeface="+mn-ea"/>
                            <a:cs typeface="+mn-cs"/>
                          </a:rPr>
                        </m:ctrlPr>
                      </m:fPr>
                      <m:num>
                        <m:r>
                          <a:rPr lang="x-IV_mathan" sz="1100">
                            <a:solidFill>
                              <a:schemeClr val="dk1"/>
                            </a:solidFill>
                            <a:effectLst/>
                            <a:latin typeface="Cambria Math" panose="02040503050406030204" pitchFamily="18" charset="0"/>
                            <a:ea typeface="+mn-ea"/>
                            <a:cs typeface="+mn-cs"/>
                          </a:rPr>
                          <m:t>2000</m:t>
                        </m:r>
                      </m:num>
                      <m:den>
                        <m:r>
                          <a:rPr lang="x-IV_mathan" sz="1100">
                            <a:solidFill>
                              <a:schemeClr val="dk1"/>
                            </a:solidFill>
                            <a:effectLst/>
                            <a:latin typeface="Cambria Math" panose="02040503050406030204" pitchFamily="18" charset="0"/>
                            <a:ea typeface="+mn-ea"/>
                            <a:cs typeface="+mn-cs"/>
                          </a:rPr>
                          <m:t>2205</m:t>
                        </m:r>
                      </m:den>
                    </m:f>
                  </m:oMath>
                </m:oMathPara>
              </a14:m>
              <a:endParaRPr lang="x-IV_mathan"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14:m>
                <m:oMath xmlns:m="http://schemas.openxmlformats.org/officeDocument/2006/math">
                  <m:r>
                    <a:rPr lang="x-IV_mathan" sz="1100">
                      <a:solidFill>
                        <a:schemeClr val="dk1"/>
                      </a:solidFill>
                      <a:effectLst/>
                      <a:latin typeface="Cambria Math" panose="02040503050406030204" pitchFamily="18" charset="0"/>
                      <a:ea typeface="+mn-ea"/>
                      <a:cs typeface="+mn-cs"/>
                    </a:rPr>
                    <m:t>𝐶</m:t>
                  </m:r>
                  <m:sSub>
                    <m:sSubPr>
                      <m:ctrlPr>
                        <a:rPr lang="x-IV_mathan" sz="1100" i="1">
                          <a:solidFill>
                            <a:schemeClr val="dk1"/>
                          </a:solidFill>
                          <a:effectLst/>
                          <a:latin typeface="Cambria Math" panose="02040503050406030204" pitchFamily="18" charset="0"/>
                          <a:ea typeface="+mn-ea"/>
                          <a:cs typeface="+mn-cs"/>
                        </a:rPr>
                      </m:ctrlPr>
                    </m:sSubPr>
                    <m:e>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𝑂</m:t>
                          </m:r>
                        </m:e>
                        <m:sub>
                          <m:r>
                            <a:rPr lang="x-IV_mathan" sz="1100">
                              <a:solidFill>
                                <a:schemeClr val="dk1"/>
                              </a:solidFill>
                              <a:effectLst/>
                              <a:latin typeface="Cambria Math" panose="02040503050406030204" pitchFamily="18" charset="0"/>
                              <a:ea typeface="+mn-ea"/>
                              <a:cs typeface="+mn-cs"/>
                            </a:rPr>
                            <m:t>2</m:t>
                          </m:r>
                        </m:sub>
                      </m:sSub>
                    </m:e>
                    <m:sub>
                      <m:r>
                        <a:rPr lang="x-IV_mathan" sz="1100">
                          <a:solidFill>
                            <a:schemeClr val="dk1"/>
                          </a:solidFill>
                          <a:effectLst/>
                          <a:latin typeface="Cambria Math" panose="02040503050406030204" pitchFamily="18" charset="0"/>
                          <a:ea typeface="+mn-ea"/>
                          <a:cs typeface="+mn-cs"/>
                        </a:rPr>
                        <m:t>𝑟𝑚</m:t>
                      </m:r>
                    </m:sub>
                  </m:sSub>
                </m:oMath>
              </a14:m>
              <a:r>
                <a:rPr lang="x-IV_mathan" sz="1100">
                  <a:solidFill>
                    <a:schemeClr val="dk1"/>
                  </a:solidFill>
                  <a:effectLst/>
                  <a:latin typeface="+mn-lt"/>
                  <a:ea typeface="+mn-ea"/>
                  <a:cs typeface="+mn-cs"/>
                </a:rPr>
                <a:t>= CO2 emissions from raw material</a:t>
              </a:r>
            </a:p>
            <a:p>
              <a14:m>
                <m:oMath xmlns:m="http://schemas.openxmlformats.org/officeDocument/2006/math">
                  <m:r>
                    <a:rPr lang="x-IV_mathan" sz="1100">
                      <a:solidFill>
                        <a:schemeClr val="dk1"/>
                      </a:solidFill>
                      <a:effectLst/>
                      <a:latin typeface="Cambria Math" panose="02040503050406030204" pitchFamily="18" charset="0"/>
                      <a:ea typeface="+mn-ea"/>
                      <a:cs typeface="+mn-cs"/>
                    </a:rPr>
                    <m:t>𝑇𝑂</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𝐶</m:t>
                      </m:r>
                    </m:e>
                    <m:sub>
                      <m:r>
                        <a:rPr lang="x-IV_mathan" sz="1100">
                          <a:solidFill>
                            <a:schemeClr val="dk1"/>
                          </a:solidFill>
                          <a:effectLst/>
                          <a:latin typeface="Cambria Math" panose="02040503050406030204" pitchFamily="18" charset="0"/>
                          <a:ea typeface="+mn-ea"/>
                          <a:cs typeface="+mn-cs"/>
                        </a:rPr>
                        <m:t>𝑟𝑚</m:t>
                      </m:r>
                    </m:sub>
                  </m:sSub>
                </m:oMath>
              </a14:m>
              <a:r>
                <a:rPr lang="x-IV_mathan" sz="1100">
                  <a:solidFill>
                    <a:schemeClr val="dk1"/>
                  </a:solidFill>
                  <a:effectLst/>
                  <a:latin typeface="+mn-lt"/>
                  <a:ea typeface="+mn-ea"/>
                  <a:cs typeface="+mn-cs"/>
                </a:rPr>
                <a:t>= Organic carbon content of raw material (default value of 0.2)</a:t>
              </a:r>
            </a:p>
            <a:p>
              <a14:m>
                <m:oMath xmlns:m="http://schemas.openxmlformats.org/officeDocument/2006/math">
                  <m:f>
                    <m:fPr>
                      <m:ctrlPr>
                        <a:rPr lang="x-IV_mathan" sz="1100" i="1">
                          <a:solidFill>
                            <a:schemeClr val="dk1"/>
                          </a:solidFill>
                          <a:effectLst/>
                          <a:latin typeface="Cambria Math" panose="02040503050406030204" pitchFamily="18" charset="0"/>
                          <a:ea typeface="+mn-ea"/>
                          <a:cs typeface="+mn-cs"/>
                        </a:rPr>
                      </m:ctrlPr>
                    </m:fPr>
                    <m:num>
                      <m:r>
                        <a:rPr lang="x-IV_mathan" sz="1100">
                          <a:solidFill>
                            <a:schemeClr val="dk1"/>
                          </a:solidFill>
                          <a:effectLst/>
                          <a:latin typeface="Cambria Math" panose="02040503050406030204" pitchFamily="18" charset="0"/>
                          <a:ea typeface="+mn-ea"/>
                          <a:cs typeface="+mn-cs"/>
                        </a:rPr>
                        <m:t>44</m:t>
                      </m:r>
                    </m:num>
                    <m:den>
                      <m:r>
                        <a:rPr lang="x-IV_mathan" sz="1100">
                          <a:solidFill>
                            <a:schemeClr val="dk1"/>
                          </a:solidFill>
                          <a:effectLst/>
                          <a:latin typeface="Cambria Math" panose="02040503050406030204" pitchFamily="18" charset="0"/>
                          <a:ea typeface="+mn-ea"/>
                          <a:cs typeface="+mn-cs"/>
                        </a:rPr>
                        <m:t>12</m:t>
                      </m:r>
                    </m:den>
                  </m:f>
                </m:oMath>
              </a14:m>
              <a:r>
                <a:rPr lang="x-IV_mathan" sz="1100">
                  <a:solidFill>
                    <a:schemeClr val="dk1"/>
                  </a:solidFill>
                  <a:effectLst/>
                  <a:latin typeface="+mn-lt"/>
                  <a:ea typeface="+mn-ea"/>
                  <a:cs typeface="+mn-cs"/>
                </a:rPr>
                <a:t>= molecular weight ratio of CO2/Carbon</a:t>
              </a:r>
            </a:p>
            <a:p>
              <a:endParaRPr lang="en-US" sz="1100"/>
            </a:p>
          </xdr:txBody>
        </xdr:sp>
      </mc:Choice>
      <mc:Fallback xmlns="">
        <xdr:sp macro="" textlink="">
          <xdr:nvSpPr>
            <xdr:cNvPr id="36" name="TextBox 35">
              <a:extLst>
                <a:ext uri="{FF2B5EF4-FFF2-40B4-BE49-F238E27FC236}">
                  <a16:creationId xmlns:a16="http://schemas.microsoft.com/office/drawing/2014/main" id="{75CE669B-1ACC-4043-BC7B-4081F196DE13}"/>
                </a:ext>
              </a:extLst>
            </xdr:cNvPr>
            <xdr:cNvSpPr txBox="1"/>
          </xdr:nvSpPr>
          <xdr:spPr>
            <a:xfrm>
              <a:off x="8859982" y="7045036"/>
              <a:ext cx="3034145" cy="1697182"/>
            </a:xfrm>
            <a:prstGeom prst="rect">
              <a:avLst/>
            </a:prstGeom>
            <a:solidFill>
              <a:srgbClr val="D9E1DD"/>
            </a:solidFill>
            <a:ln w="1905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pPr/>
              <a:r>
                <a:rPr lang="x-IV_mathan" sz="1100" i="0">
                  <a:solidFill>
                    <a:schemeClr val="dk1"/>
                  </a:solidFill>
                  <a:effectLst/>
                  <a:latin typeface="Cambria Math" panose="02040503050406030204" pitchFamily="18" charset="0"/>
                  <a:ea typeface="+mn-ea"/>
                  <a:cs typeface="+mn-cs"/>
                </a:rPr>
                <a:t>𝐶〖𝑂_2〗_𝑟𝑚=𝑟𝑚∗𝑇𝑂𝐶_𝑟𝑚∗44/12∗2000/2205</a:t>
              </a:r>
              <a:endParaRPr lang="x-IV_mathan"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x-IV_mathan" sz="1100" i="0">
                  <a:solidFill>
                    <a:schemeClr val="dk1"/>
                  </a:solidFill>
                  <a:effectLst/>
                  <a:latin typeface="Cambria Math" panose="02040503050406030204" pitchFamily="18" charset="0"/>
                  <a:ea typeface="+mn-ea"/>
                  <a:cs typeface="+mn-cs"/>
                </a:rPr>
                <a:t>𝐶〖𝑂_2〗_𝑟𝑚</a:t>
              </a:r>
              <a:r>
                <a:rPr lang="x-IV_mathan" sz="1100">
                  <a:solidFill>
                    <a:schemeClr val="dk1"/>
                  </a:solidFill>
                  <a:effectLst/>
                  <a:latin typeface="+mn-lt"/>
                  <a:ea typeface="+mn-ea"/>
                  <a:cs typeface="+mn-cs"/>
                </a:rPr>
                <a:t>= CO2 emissions from raw material</a:t>
              </a:r>
            </a:p>
            <a:p>
              <a:r>
                <a:rPr lang="x-IV_mathan" sz="1100" i="0">
                  <a:solidFill>
                    <a:schemeClr val="dk1"/>
                  </a:solidFill>
                  <a:effectLst/>
                  <a:latin typeface="Cambria Math" panose="02040503050406030204" pitchFamily="18" charset="0"/>
                  <a:ea typeface="+mn-ea"/>
                  <a:cs typeface="+mn-cs"/>
                </a:rPr>
                <a:t>𝑇𝑂𝐶_𝑟𝑚</a:t>
              </a:r>
              <a:r>
                <a:rPr lang="x-IV_mathan" sz="1100">
                  <a:solidFill>
                    <a:schemeClr val="dk1"/>
                  </a:solidFill>
                  <a:effectLst/>
                  <a:latin typeface="+mn-lt"/>
                  <a:ea typeface="+mn-ea"/>
                  <a:cs typeface="+mn-cs"/>
                </a:rPr>
                <a:t>= Organic carbon content of raw material (default value of 0.2)</a:t>
              </a:r>
            </a:p>
            <a:p>
              <a:r>
                <a:rPr lang="x-IV_mathan" sz="1100" i="0">
                  <a:solidFill>
                    <a:schemeClr val="dk1"/>
                  </a:solidFill>
                  <a:effectLst/>
                  <a:latin typeface="Cambria Math" panose="02040503050406030204" pitchFamily="18" charset="0"/>
                  <a:ea typeface="+mn-ea"/>
                  <a:cs typeface="+mn-cs"/>
                </a:rPr>
                <a:t>44/12</a:t>
              </a:r>
              <a:r>
                <a:rPr lang="x-IV_mathan" sz="1100">
                  <a:solidFill>
                    <a:schemeClr val="dk1"/>
                  </a:solidFill>
                  <a:effectLst/>
                  <a:latin typeface="+mn-lt"/>
                  <a:ea typeface="+mn-ea"/>
                  <a:cs typeface="+mn-cs"/>
                </a:rPr>
                <a:t>= molecular weight ratio of CO2/Carbon</a:t>
              </a:r>
            </a:p>
            <a:p>
              <a:endParaRPr lang="en-US" sz="1100"/>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oneCellAnchor>
    <xdr:from>
      <xdr:col>5</xdr:col>
      <xdr:colOff>1219200</xdr:colOff>
      <xdr:row>18</xdr:row>
      <xdr:rowOff>185737</xdr:rowOff>
    </xdr:from>
    <xdr:ext cx="65" cy="172227"/>
    <xdr:sp macro="" textlink="">
      <xdr:nvSpPr>
        <xdr:cNvPr id="6" name="TextBox 5">
          <a:extLst>
            <a:ext uri="{FF2B5EF4-FFF2-40B4-BE49-F238E27FC236}">
              <a16:creationId xmlns:a16="http://schemas.microsoft.com/office/drawing/2014/main" id="{83E1A8EA-ECBE-6A8B-2D00-3A3B92D5A235}"/>
            </a:ext>
          </a:extLst>
        </xdr:cNvPr>
        <xdr:cNvSpPr txBox="1"/>
      </xdr:nvSpPr>
      <xdr:spPr>
        <a:xfrm>
          <a:off x="8458200" y="29289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0</xdr:col>
      <xdr:colOff>57150</xdr:colOff>
      <xdr:row>0</xdr:row>
      <xdr:rowOff>85725</xdr:rowOff>
    </xdr:from>
    <xdr:to>
      <xdr:col>0</xdr:col>
      <xdr:colOff>1847850</xdr:colOff>
      <xdr:row>0</xdr:row>
      <xdr:rowOff>630867</xdr:rowOff>
    </xdr:to>
    <xdr:pic>
      <xdr:nvPicPr>
        <xdr:cNvPr id="2" name="Picture 1">
          <a:hlinkClick xmlns:r="http://schemas.openxmlformats.org/officeDocument/2006/relationships" r:id="rId1"/>
          <a:extLst>
            <a:ext uri="{FF2B5EF4-FFF2-40B4-BE49-F238E27FC236}">
              <a16:creationId xmlns:a16="http://schemas.microsoft.com/office/drawing/2014/main" id="{643C9EDF-8AFF-4D98-9D2B-6B148A182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85725"/>
          <a:ext cx="1777365" cy="552762"/>
        </a:xfrm>
        <a:prstGeom prst="rect">
          <a:avLst/>
        </a:prstGeom>
      </xdr:spPr>
    </xdr:pic>
    <xdr:clientData/>
  </xdr:twoCellAnchor>
  <xdr:twoCellAnchor>
    <xdr:from>
      <xdr:col>2</xdr:col>
      <xdr:colOff>928255</xdr:colOff>
      <xdr:row>18</xdr:row>
      <xdr:rowOff>76199</xdr:rowOff>
    </xdr:from>
    <xdr:to>
      <xdr:col>5</xdr:col>
      <xdr:colOff>1059872</xdr:colOff>
      <xdr:row>29</xdr:row>
      <xdr:rowOff>138545</xdr:rowOff>
    </xdr:to>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48D11DB7-548A-148C-D53F-F588D14CB28B}"/>
                </a:ext>
              </a:extLst>
            </xdr:cNvPr>
            <xdr:cNvSpPr txBox="1"/>
          </xdr:nvSpPr>
          <xdr:spPr>
            <a:xfrm>
              <a:off x="5763491" y="4814454"/>
              <a:ext cx="4710545" cy="2251364"/>
            </a:xfrm>
            <a:prstGeom prst="rect">
              <a:avLst/>
            </a:prstGeom>
            <a:solidFill>
              <a:srgbClr val="D9E1DD"/>
            </a:solidFill>
            <a:ln w="1905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𝐸</m:t>
                        </m:r>
                      </m:e>
                      <m:sub>
                        <m:r>
                          <a:rPr lang="x-IV_mathan" sz="1100">
                            <a:solidFill>
                              <a:schemeClr val="dk1"/>
                            </a:solidFill>
                            <a:effectLst/>
                            <a:latin typeface="Cambria Math" panose="02040503050406030204" pitchFamily="18" charset="0"/>
                            <a:ea typeface="+mn-ea"/>
                            <a:cs typeface="+mn-cs"/>
                          </a:rPr>
                          <m:t>𝐶𝑂</m:t>
                        </m:r>
                        <m:r>
                          <a:rPr lang="x-IV_mathan" sz="1100">
                            <a:solidFill>
                              <a:schemeClr val="dk1"/>
                            </a:solidFill>
                            <a:effectLst/>
                            <a:latin typeface="Cambria Math" panose="02040503050406030204" pitchFamily="18" charset="0"/>
                            <a:ea typeface="+mn-ea"/>
                            <a:cs typeface="+mn-cs"/>
                          </a:rPr>
                          <m:t>2</m:t>
                        </m:r>
                      </m:sub>
                    </m:sSub>
                    <m:r>
                      <a:rPr lang="x-IV_mathan" sz="1100">
                        <a:solidFill>
                          <a:schemeClr val="dk1"/>
                        </a:solidFill>
                        <a:effectLst/>
                        <a:latin typeface="Cambria Math" panose="02040503050406030204" pitchFamily="18" charset="0"/>
                        <a:ea typeface="+mn-ea"/>
                        <a:cs typeface="+mn-cs"/>
                      </a:rPr>
                      <m:t>=</m:t>
                    </m:r>
                    <m:nary>
                      <m:naryPr>
                        <m:chr m:val="∑"/>
                        <m:ctrlPr>
                          <a:rPr lang="x-IV_mathan" sz="1100" i="1">
                            <a:solidFill>
                              <a:schemeClr val="dk1"/>
                            </a:solidFill>
                            <a:effectLst/>
                            <a:latin typeface="Cambria Math" panose="02040503050406030204" pitchFamily="18" charset="0"/>
                            <a:ea typeface="+mn-ea"/>
                            <a:cs typeface="+mn-cs"/>
                          </a:rPr>
                        </m:ctrlPr>
                      </m:naryPr>
                      <m:sub>
                        <m:r>
                          <a:rPr lang="x-IV_mathan" sz="1100">
                            <a:solidFill>
                              <a:schemeClr val="dk1"/>
                            </a:solidFill>
                            <a:effectLst/>
                            <a:latin typeface="Cambria Math" panose="02040503050406030204" pitchFamily="18" charset="0"/>
                            <a:ea typeface="+mn-ea"/>
                            <a:cs typeface="+mn-cs"/>
                          </a:rPr>
                          <m:t>𝑖</m:t>
                        </m:r>
                        <m:r>
                          <a:rPr lang="x-IV_mathan" sz="1100">
                            <a:solidFill>
                              <a:schemeClr val="dk1"/>
                            </a:solidFill>
                            <a:effectLst/>
                            <a:latin typeface="Cambria Math" panose="02040503050406030204" pitchFamily="18" charset="0"/>
                            <a:ea typeface="+mn-ea"/>
                            <a:cs typeface="+mn-cs"/>
                          </a:rPr>
                          <m:t>=1</m:t>
                        </m:r>
                      </m:sub>
                      <m:sup>
                        <m:r>
                          <a:rPr lang="x-IV_mathan" sz="1100">
                            <a:solidFill>
                              <a:schemeClr val="dk1"/>
                            </a:solidFill>
                            <a:effectLst/>
                            <a:latin typeface="Cambria Math" panose="02040503050406030204" pitchFamily="18" charset="0"/>
                            <a:ea typeface="+mn-ea"/>
                            <a:cs typeface="+mn-cs"/>
                          </a:rPr>
                          <m:t>𝑛</m:t>
                        </m:r>
                      </m:sup>
                      <m:e>
                        <m:r>
                          <a:rPr lang="x-IV_mathan" sz="1100">
                            <a:solidFill>
                              <a:schemeClr val="dk1"/>
                            </a:solidFill>
                            <a:effectLst/>
                            <a:latin typeface="Cambria Math" panose="02040503050406030204" pitchFamily="18" charset="0"/>
                            <a:ea typeface="+mn-ea"/>
                            <a:cs typeface="+mn-cs"/>
                          </a:rPr>
                          <m:t>𝑀</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𝐹</m:t>
                            </m:r>
                          </m:e>
                          <m:sub>
                            <m:r>
                              <a:rPr lang="x-IV_mathan" sz="1100">
                                <a:solidFill>
                                  <a:schemeClr val="dk1"/>
                                </a:solidFill>
                                <a:effectLst/>
                                <a:latin typeface="Cambria Math" panose="02040503050406030204" pitchFamily="18" charset="0"/>
                                <a:ea typeface="+mn-ea"/>
                                <a:cs typeface="+mn-cs"/>
                              </a:rPr>
                              <m:t>𝑖</m:t>
                            </m:r>
                          </m:sub>
                        </m:sSub>
                        <m:r>
                          <a:rPr lang="x-IV_mathan" sz="1100">
                            <a:solidFill>
                              <a:schemeClr val="dk1"/>
                            </a:solidFill>
                            <a:effectLst/>
                            <a:latin typeface="Cambria Math" panose="02040503050406030204" pitchFamily="18" charset="0"/>
                            <a:ea typeface="+mn-ea"/>
                            <a:cs typeface="+mn-cs"/>
                          </a:rPr>
                          <m:t>∗</m:t>
                        </m:r>
                        <m:d>
                          <m:dPr>
                            <m:ctrlPr>
                              <a:rPr lang="x-IV_mathan" sz="1100" i="1">
                                <a:solidFill>
                                  <a:schemeClr val="dk1"/>
                                </a:solidFill>
                                <a:effectLst/>
                                <a:latin typeface="Cambria Math" panose="02040503050406030204" pitchFamily="18" charset="0"/>
                                <a:ea typeface="+mn-ea"/>
                                <a:cs typeface="+mn-cs"/>
                              </a:rPr>
                            </m:ctrlPr>
                          </m:dPr>
                          <m:e>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𝑀</m:t>
                                </m:r>
                              </m:e>
                              <m:sub>
                                <m:r>
                                  <a:rPr lang="x-IV_mathan" sz="1100">
                                    <a:solidFill>
                                      <a:schemeClr val="dk1"/>
                                    </a:solidFill>
                                    <a:effectLst/>
                                    <a:latin typeface="Cambria Math" panose="02040503050406030204" pitchFamily="18" charset="0"/>
                                    <a:ea typeface="+mn-ea"/>
                                    <a:cs typeface="+mn-cs"/>
                                  </a:rPr>
                                  <m:t>𝑖</m:t>
                                </m:r>
                              </m:sub>
                            </m:sSub>
                            <m:r>
                              <a:rPr lang="x-IV_mathan" sz="1100">
                                <a:solidFill>
                                  <a:schemeClr val="dk1"/>
                                </a:solidFill>
                                <a:effectLst/>
                                <a:latin typeface="Cambria Math" panose="02040503050406030204" pitchFamily="18" charset="0"/>
                                <a:ea typeface="+mn-ea"/>
                                <a:cs typeface="+mn-cs"/>
                              </a:rPr>
                              <m:t>∗</m:t>
                            </m:r>
                            <m:f>
                              <m:fPr>
                                <m:ctrlPr>
                                  <a:rPr lang="x-IV_mathan" sz="1100" i="1">
                                    <a:solidFill>
                                      <a:schemeClr val="dk1"/>
                                    </a:solidFill>
                                    <a:effectLst/>
                                    <a:latin typeface="Cambria Math" panose="02040503050406030204" pitchFamily="18" charset="0"/>
                                    <a:ea typeface="+mn-ea"/>
                                    <a:cs typeface="+mn-cs"/>
                                  </a:rPr>
                                </m:ctrlPr>
                              </m:fPr>
                              <m:num>
                                <m:r>
                                  <a:rPr lang="x-IV_mathan" sz="1100">
                                    <a:solidFill>
                                      <a:schemeClr val="dk1"/>
                                    </a:solidFill>
                                    <a:effectLst/>
                                    <a:latin typeface="Cambria Math" panose="02040503050406030204" pitchFamily="18" charset="0"/>
                                    <a:ea typeface="+mn-ea"/>
                                    <a:cs typeface="+mn-cs"/>
                                  </a:rPr>
                                  <m:t>2000</m:t>
                                </m:r>
                              </m:num>
                              <m:den>
                                <m:r>
                                  <a:rPr lang="x-IV_mathan" sz="1100">
                                    <a:solidFill>
                                      <a:schemeClr val="dk1"/>
                                    </a:solidFill>
                                    <a:effectLst/>
                                    <a:latin typeface="Cambria Math" panose="02040503050406030204" pitchFamily="18" charset="0"/>
                                    <a:ea typeface="+mn-ea"/>
                                    <a:cs typeface="+mn-cs"/>
                                  </a:rPr>
                                  <m:t>2205</m:t>
                                </m:r>
                              </m:den>
                            </m:f>
                          </m:e>
                        </m:d>
                        <m:r>
                          <a:rPr lang="x-IV_mathan" sz="1100">
                            <a:solidFill>
                              <a:schemeClr val="dk1"/>
                            </a:solidFill>
                            <a:effectLst/>
                            <a:latin typeface="Cambria Math" panose="02040503050406030204" pitchFamily="18" charset="0"/>
                            <a:ea typeface="+mn-ea"/>
                            <a:cs typeface="+mn-cs"/>
                          </a:rPr>
                          <m:t>∗</m:t>
                        </m:r>
                        <m:r>
                          <a:rPr lang="x-IV_mathan" sz="1100">
                            <a:solidFill>
                              <a:schemeClr val="dk1"/>
                            </a:solidFill>
                            <a:effectLst/>
                            <a:latin typeface="Cambria Math" panose="02040503050406030204" pitchFamily="18" charset="0"/>
                            <a:ea typeface="+mn-ea"/>
                            <a:cs typeface="+mn-cs"/>
                          </a:rPr>
                          <m:t>𝐸</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𝐹</m:t>
                            </m:r>
                          </m:e>
                          <m:sub>
                            <m:r>
                              <a:rPr lang="x-IV_mathan" sz="1100">
                                <a:solidFill>
                                  <a:schemeClr val="dk1"/>
                                </a:solidFill>
                                <a:effectLst/>
                                <a:latin typeface="Cambria Math" panose="02040503050406030204" pitchFamily="18" charset="0"/>
                                <a:ea typeface="+mn-ea"/>
                                <a:cs typeface="+mn-cs"/>
                              </a:rPr>
                              <m:t>𝑖</m:t>
                            </m:r>
                          </m:sub>
                        </m:sSub>
                        <m:r>
                          <a:rPr lang="x-IV_mathan" sz="1100">
                            <a:solidFill>
                              <a:schemeClr val="dk1"/>
                            </a:solidFill>
                            <a:effectLst/>
                            <a:latin typeface="Cambria Math" panose="02040503050406030204" pitchFamily="18" charset="0"/>
                            <a:ea typeface="+mn-ea"/>
                            <a:cs typeface="+mn-cs"/>
                          </a:rPr>
                          <m:t>∗</m:t>
                        </m:r>
                        <m:sSub>
                          <m:sSubPr>
                            <m:ctrlPr>
                              <a:rPr lang="x-IV_mathan" sz="1100" i="1">
                                <a:solidFill>
                                  <a:schemeClr val="dk1"/>
                                </a:solidFill>
                                <a:effectLst/>
                                <a:latin typeface="Cambria Math" panose="02040503050406030204" pitchFamily="18" charset="0"/>
                                <a:ea typeface="+mn-ea"/>
                                <a:cs typeface="+mn-cs"/>
                              </a:rPr>
                            </m:ctrlPr>
                          </m:sSubPr>
                          <m:e>
                            <m:r>
                              <a:rPr lang="x-IV_mathan" sz="1100">
                                <a:solidFill>
                                  <a:schemeClr val="dk1"/>
                                </a:solidFill>
                                <a:effectLst/>
                                <a:latin typeface="Cambria Math" panose="02040503050406030204" pitchFamily="18" charset="0"/>
                                <a:ea typeface="+mn-ea"/>
                                <a:cs typeface="+mn-cs"/>
                              </a:rPr>
                              <m:t>𝐹</m:t>
                            </m:r>
                          </m:e>
                          <m:sub>
                            <m:r>
                              <a:rPr lang="x-IV_mathan" sz="1100">
                                <a:solidFill>
                                  <a:schemeClr val="dk1"/>
                                </a:solidFill>
                                <a:effectLst/>
                                <a:latin typeface="Cambria Math" panose="02040503050406030204" pitchFamily="18" charset="0"/>
                                <a:ea typeface="+mn-ea"/>
                                <a:cs typeface="+mn-cs"/>
                              </a:rPr>
                              <m:t>𝑖</m:t>
                            </m:r>
                          </m:sub>
                        </m:sSub>
                      </m:e>
                    </m:nary>
                  </m:oMath>
                </m:oMathPara>
              </a14:m>
              <a:endParaRPr lang="x-IV_mathan"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14:m>
                <m:oMath xmlns:m="http://schemas.openxmlformats.org/officeDocument/2006/math">
                  <m:sSub>
                    <m:sSubPr>
                      <m:ctrlPr>
                        <a:rPr lang="en-US" sz="1100" i="1">
                          <a:solidFill>
                            <a:schemeClr val="dk1"/>
                          </a:solidFill>
                          <a:effectLst/>
                          <a:latin typeface="Cambria Math" panose="02040503050406030204" pitchFamily="18" charset="0"/>
                          <a:ea typeface="+mn-ea"/>
                          <a:cs typeface="+mn-cs"/>
                        </a:rPr>
                      </m:ctrlPr>
                    </m:sSubPr>
                    <m:e>
                      <m:r>
                        <a:rPr lang="en-US" sz="1100">
                          <a:solidFill>
                            <a:schemeClr val="dk1"/>
                          </a:solidFill>
                          <a:effectLst/>
                          <a:latin typeface="Cambria Math" panose="02040503050406030204" pitchFamily="18" charset="0"/>
                          <a:ea typeface="+mn-ea"/>
                          <a:cs typeface="+mn-cs"/>
                        </a:rPr>
                        <m:t>𝐸</m:t>
                      </m:r>
                    </m:e>
                    <m:sub>
                      <m:r>
                        <a:rPr lang="en-US" sz="1100">
                          <a:solidFill>
                            <a:schemeClr val="dk1"/>
                          </a:solidFill>
                          <a:effectLst/>
                          <a:latin typeface="Cambria Math" panose="02040503050406030204" pitchFamily="18" charset="0"/>
                          <a:ea typeface="+mn-ea"/>
                          <a:cs typeface="+mn-cs"/>
                        </a:rPr>
                        <m:t>𝐶𝑂</m:t>
                      </m:r>
                      <m:r>
                        <a:rPr lang="en-US" sz="1100">
                          <a:solidFill>
                            <a:schemeClr val="dk1"/>
                          </a:solidFill>
                          <a:effectLst/>
                          <a:latin typeface="Cambria Math" panose="02040503050406030204" pitchFamily="18" charset="0"/>
                          <a:ea typeface="+mn-ea"/>
                          <a:cs typeface="+mn-cs"/>
                        </a:rPr>
                        <m:t>2</m:t>
                      </m:r>
                    </m:sub>
                  </m:sSub>
                </m:oMath>
              </a14:m>
              <a:r>
                <a:rPr lang="en-US" sz="1100" i="1">
                  <a:solidFill>
                    <a:schemeClr val="dk1"/>
                  </a:solidFill>
                  <a:effectLst/>
                  <a:latin typeface="+mn-lt"/>
                  <a:ea typeface="+mn-ea"/>
                  <a:cs typeface="+mn-cs"/>
                </a:rPr>
                <a:t>=</a:t>
              </a:r>
              <a:r>
                <a:rPr lang="en-US" sz="1100">
                  <a:solidFill>
                    <a:schemeClr val="dk1"/>
                  </a:solidFill>
                  <a:effectLst/>
                  <a:latin typeface="+mn-lt"/>
                  <a:ea typeface="+mn-ea"/>
                  <a:cs typeface="+mn-cs"/>
                </a:rPr>
                <a:t> Process emissions of CO2 from furnace</a:t>
              </a:r>
            </a:p>
            <a:p>
              <a14:m>
                <m:oMath xmlns:m="http://schemas.openxmlformats.org/officeDocument/2006/math">
                  <m:r>
                    <a:rPr lang="en-US" sz="1100">
                      <a:solidFill>
                        <a:schemeClr val="dk1"/>
                      </a:solidFill>
                      <a:effectLst/>
                      <a:latin typeface="Cambria Math" panose="02040503050406030204" pitchFamily="18" charset="0"/>
                      <a:ea typeface="+mn-ea"/>
                      <a:cs typeface="+mn-cs"/>
                    </a:rPr>
                    <m:t>𝑀</m:t>
                  </m:r>
                  <m:sSub>
                    <m:sSubPr>
                      <m:ctrlPr>
                        <a:rPr lang="en-US" sz="1100" i="1">
                          <a:solidFill>
                            <a:schemeClr val="dk1"/>
                          </a:solidFill>
                          <a:effectLst/>
                          <a:latin typeface="Cambria Math" panose="02040503050406030204" pitchFamily="18" charset="0"/>
                          <a:ea typeface="+mn-ea"/>
                          <a:cs typeface="+mn-cs"/>
                        </a:rPr>
                      </m:ctrlPr>
                    </m:sSubPr>
                    <m:e>
                      <m:r>
                        <a:rPr lang="en-US" sz="1100">
                          <a:solidFill>
                            <a:schemeClr val="dk1"/>
                          </a:solidFill>
                          <a:effectLst/>
                          <a:latin typeface="Cambria Math" panose="02040503050406030204" pitchFamily="18" charset="0"/>
                          <a:ea typeface="+mn-ea"/>
                          <a:cs typeface="+mn-cs"/>
                        </a:rPr>
                        <m:t>𝐹</m:t>
                      </m:r>
                    </m:e>
                    <m:sub>
                      <m:r>
                        <a:rPr lang="en-US" sz="1100">
                          <a:solidFill>
                            <a:schemeClr val="dk1"/>
                          </a:solidFill>
                          <a:effectLst/>
                          <a:latin typeface="Cambria Math" panose="02040503050406030204" pitchFamily="18" charset="0"/>
                          <a:ea typeface="+mn-ea"/>
                          <a:cs typeface="+mn-cs"/>
                        </a:rPr>
                        <m:t>𝑖</m:t>
                      </m:r>
                    </m:sub>
                  </m:sSub>
                </m:oMath>
              </a14:m>
              <a:r>
                <a:rPr lang="en-US" sz="1100">
                  <a:solidFill>
                    <a:schemeClr val="dk1"/>
                  </a:solidFill>
                  <a:effectLst/>
                  <a:latin typeface="+mn-lt"/>
                  <a:ea typeface="+mn-ea"/>
                  <a:cs typeface="+mn-cs"/>
                </a:rPr>
                <a:t>= average decimal mass fraction of carbonate based mineral </a:t>
              </a:r>
              <a:r>
                <a:rPr lang="en-US" sz="1100" i="1">
                  <a:solidFill>
                    <a:schemeClr val="dk1"/>
                  </a:solidFill>
                  <a:effectLst/>
                  <a:latin typeface="+mn-lt"/>
                  <a:ea typeface="+mn-ea"/>
                  <a:cs typeface="+mn-cs"/>
                </a:rPr>
                <a:t>i</a:t>
              </a:r>
              <a:r>
                <a:rPr lang="en-US" sz="1100">
                  <a:solidFill>
                    <a:schemeClr val="dk1"/>
                  </a:solidFill>
                  <a:effectLst/>
                  <a:latin typeface="+mn-lt"/>
                  <a:ea typeface="+mn-ea"/>
                  <a:cs typeface="+mn-cs"/>
                </a:rPr>
                <a:t> in carbonate based raw material </a:t>
              </a:r>
              <a:r>
                <a:rPr lang="en-US" sz="1100" i="1">
                  <a:solidFill>
                    <a:schemeClr val="dk1"/>
                  </a:solidFill>
                  <a:effectLst/>
                  <a:latin typeface="+mn-lt"/>
                  <a:ea typeface="+mn-ea"/>
                  <a:cs typeface="+mn-cs"/>
                </a:rPr>
                <a:t>i</a:t>
              </a:r>
              <a:r>
                <a:rPr lang="en-US" sz="1100">
                  <a:solidFill>
                    <a:schemeClr val="dk1"/>
                  </a:solidFill>
                  <a:effectLst/>
                  <a:latin typeface="+mn-lt"/>
                  <a:ea typeface="+mn-ea"/>
                  <a:cs typeface="+mn-cs"/>
                </a:rPr>
                <a:t> </a:t>
              </a:r>
            </a:p>
            <a:p>
              <a14:m>
                <m:oMath xmlns:m="http://schemas.openxmlformats.org/officeDocument/2006/math">
                  <m:sSub>
                    <m:sSubPr>
                      <m:ctrlPr>
                        <a:rPr lang="en-US" sz="1100" i="1">
                          <a:solidFill>
                            <a:schemeClr val="dk1"/>
                          </a:solidFill>
                          <a:effectLst/>
                          <a:latin typeface="Cambria Math" panose="02040503050406030204" pitchFamily="18" charset="0"/>
                          <a:ea typeface="+mn-ea"/>
                          <a:cs typeface="+mn-cs"/>
                        </a:rPr>
                      </m:ctrlPr>
                    </m:sSubPr>
                    <m:e>
                      <m:r>
                        <a:rPr lang="en-US" sz="1100">
                          <a:solidFill>
                            <a:schemeClr val="dk1"/>
                          </a:solidFill>
                          <a:effectLst/>
                          <a:latin typeface="Cambria Math" panose="02040503050406030204" pitchFamily="18" charset="0"/>
                          <a:ea typeface="+mn-ea"/>
                          <a:cs typeface="+mn-cs"/>
                        </a:rPr>
                        <m:t>𝑀</m:t>
                      </m:r>
                    </m:e>
                    <m:sub>
                      <m:r>
                        <a:rPr lang="en-US" sz="1100">
                          <a:solidFill>
                            <a:schemeClr val="dk1"/>
                          </a:solidFill>
                          <a:effectLst/>
                          <a:latin typeface="Cambria Math" panose="02040503050406030204" pitchFamily="18" charset="0"/>
                          <a:ea typeface="+mn-ea"/>
                          <a:cs typeface="+mn-cs"/>
                        </a:rPr>
                        <m:t>𝑖</m:t>
                      </m:r>
                    </m:sub>
                  </m:sSub>
                </m:oMath>
              </a14:m>
              <a:r>
                <a:rPr lang="en-US" sz="1100">
                  <a:solidFill>
                    <a:schemeClr val="dk1"/>
                  </a:solidFill>
                  <a:effectLst/>
                  <a:latin typeface="+mn-lt"/>
                  <a:ea typeface="+mn-ea"/>
                  <a:cs typeface="+mn-cs"/>
                </a:rPr>
                <a:t>= annual amount of carbonate based raw material </a:t>
              </a:r>
              <a:r>
                <a:rPr lang="en-US" sz="1100" i="1">
                  <a:solidFill>
                    <a:schemeClr val="dk1"/>
                  </a:solidFill>
                  <a:effectLst/>
                  <a:latin typeface="+mn-lt"/>
                  <a:ea typeface="+mn-ea"/>
                  <a:cs typeface="+mn-cs"/>
                </a:rPr>
                <a:t>i</a:t>
              </a:r>
              <a:r>
                <a:rPr lang="en-US" sz="1100">
                  <a:solidFill>
                    <a:schemeClr val="dk1"/>
                  </a:solidFill>
                  <a:effectLst/>
                  <a:latin typeface="+mn-lt"/>
                  <a:ea typeface="+mn-ea"/>
                  <a:cs typeface="+mn-cs"/>
                </a:rPr>
                <a:t> charged to furnace</a:t>
              </a:r>
            </a:p>
            <a:p>
              <a14:m>
                <m:oMath xmlns:m="http://schemas.openxmlformats.org/officeDocument/2006/math">
                  <m:d>
                    <m:dPr>
                      <m:ctrlPr>
                        <a:rPr lang="en-US" sz="1100" i="1">
                          <a:solidFill>
                            <a:schemeClr val="dk1"/>
                          </a:solidFill>
                          <a:effectLst/>
                          <a:latin typeface="Cambria Math" panose="02040503050406030204" pitchFamily="18" charset="0"/>
                          <a:ea typeface="+mn-ea"/>
                          <a:cs typeface="+mn-cs"/>
                        </a:rPr>
                      </m:ctrlPr>
                    </m:dPr>
                    <m:e>
                      <m:f>
                        <m:fPr>
                          <m:ctrlPr>
                            <a:rPr lang="en-US" sz="1100" i="1">
                              <a:solidFill>
                                <a:schemeClr val="dk1"/>
                              </a:solidFill>
                              <a:effectLst/>
                              <a:latin typeface="Cambria Math" panose="02040503050406030204" pitchFamily="18" charset="0"/>
                              <a:ea typeface="+mn-ea"/>
                              <a:cs typeface="+mn-cs"/>
                            </a:rPr>
                          </m:ctrlPr>
                        </m:fPr>
                        <m:num>
                          <m:r>
                            <a:rPr lang="en-US" sz="1100">
                              <a:solidFill>
                                <a:schemeClr val="dk1"/>
                              </a:solidFill>
                              <a:effectLst/>
                              <a:latin typeface="Cambria Math" panose="02040503050406030204" pitchFamily="18" charset="0"/>
                              <a:ea typeface="+mn-ea"/>
                              <a:cs typeface="+mn-cs"/>
                            </a:rPr>
                            <m:t>2000</m:t>
                          </m:r>
                        </m:num>
                        <m:den>
                          <m:r>
                            <a:rPr lang="en-US" sz="1100">
                              <a:solidFill>
                                <a:schemeClr val="dk1"/>
                              </a:solidFill>
                              <a:effectLst/>
                              <a:latin typeface="Cambria Math" panose="02040503050406030204" pitchFamily="18" charset="0"/>
                              <a:ea typeface="+mn-ea"/>
                              <a:cs typeface="+mn-cs"/>
                            </a:rPr>
                            <m:t>2205</m:t>
                          </m:r>
                        </m:den>
                      </m:f>
                    </m:e>
                  </m:d>
                </m:oMath>
              </a14:m>
              <a:r>
                <a:rPr lang="en-US" sz="1100">
                  <a:solidFill>
                    <a:schemeClr val="dk1"/>
                  </a:solidFill>
                  <a:effectLst/>
                  <a:latin typeface="+mn-lt"/>
                  <a:ea typeface="+mn-ea"/>
                  <a:cs typeface="+mn-cs"/>
                </a:rPr>
                <a:t>= conversion from short tons to metric tons</a:t>
              </a:r>
            </a:p>
            <a:p>
              <a14:m>
                <m:oMath xmlns:m="http://schemas.openxmlformats.org/officeDocument/2006/math">
                  <m:r>
                    <a:rPr lang="en-US" sz="1100">
                      <a:solidFill>
                        <a:schemeClr val="dk1"/>
                      </a:solidFill>
                      <a:effectLst/>
                      <a:latin typeface="Cambria Math" panose="02040503050406030204" pitchFamily="18" charset="0"/>
                      <a:ea typeface="+mn-ea"/>
                      <a:cs typeface="+mn-cs"/>
                    </a:rPr>
                    <m:t>𝐸</m:t>
                  </m:r>
                  <m:sSub>
                    <m:sSubPr>
                      <m:ctrlPr>
                        <a:rPr lang="en-US" sz="1100" i="1">
                          <a:solidFill>
                            <a:schemeClr val="dk1"/>
                          </a:solidFill>
                          <a:effectLst/>
                          <a:latin typeface="Cambria Math" panose="02040503050406030204" pitchFamily="18" charset="0"/>
                          <a:ea typeface="+mn-ea"/>
                          <a:cs typeface="+mn-cs"/>
                        </a:rPr>
                      </m:ctrlPr>
                    </m:sSubPr>
                    <m:e>
                      <m:r>
                        <a:rPr lang="en-US" sz="1100">
                          <a:solidFill>
                            <a:schemeClr val="dk1"/>
                          </a:solidFill>
                          <a:effectLst/>
                          <a:latin typeface="Cambria Math" panose="02040503050406030204" pitchFamily="18" charset="0"/>
                          <a:ea typeface="+mn-ea"/>
                          <a:cs typeface="+mn-cs"/>
                        </a:rPr>
                        <m:t>𝐹</m:t>
                      </m:r>
                    </m:e>
                    <m:sub>
                      <m:r>
                        <a:rPr lang="en-US" sz="1100">
                          <a:solidFill>
                            <a:schemeClr val="dk1"/>
                          </a:solidFill>
                          <a:effectLst/>
                          <a:latin typeface="Cambria Math" panose="02040503050406030204" pitchFamily="18" charset="0"/>
                          <a:ea typeface="+mn-ea"/>
                          <a:cs typeface="+mn-cs"/>
                        </a:rPr>
                        <m:t>𝑖</m:t>
                      </m:r>
                    </m:sub>
                  </m:sSub>
                </m:oMath>
              </a14:m>
              <a:r>
                <a:rPr lang="en-US" sz="1100">
                  <a:solidFill>
                    <a:schemeClr val="dk1"/>
                  </a:solidFill>
                  <a:effectLst/>
                  <a:latin typeface="+mn-lt"/>
                  <a:ea typeface="+mn-ea"/>
                  <a:cs typeface="+mn-cs"/>
                </a:rPr>
                <a:t>= emission factor for carbonate based raw material </a:t>
              </a:r>
              <a:r>
                <a:rPr lang="en-US" sz="1100" i="1">
                  <a:solidFill>
                    <a:schemeClr val="dk1"/>
                  </a:solidFill>
                  <a:effectLst/>
                  <a:latin typeface="+mn-lt"/>
                  <a:ea typeface="+mn-ea"/>
                  <a:cs typeface="+mn-cs"/>
                </a:rPr>
                <a:t>i</a:t>
              </a:r>
            </a:p>
            <a:p>
              <a14:m>
                <m:oMath xmlns:m="http://schemas.openxmlformats.org/officeDocument/2006/math">
                  <m:sSub>
                    <m:sSubPr>
                      <m:ctrlPr>
                        <a:rPr lang="en-US" sz="1100" i="1">
                          <a:solidFill>
                            <a:schemeClr val="dk1"/>
                          </a:solidFill>
                          <a:effectLst/>
                          <a:latin typeface="Cambria Math" panose="02040503050406030204" pitchFamily="18" charset="0"/>
                          <a:ea typeface="+mn-ea"/>
                          <a:cs typeface="+mn-cs"/>
                        </a:rPr>
                      </m:ctrlPr>
                    </m:sSubPr>
                    <m:e>
                      <m:r>
                        <a:rPr lang="en-US" sz="1100">
                          <a:solidFill>
                            <a:schemeClr val="dk1"/>
                          </a:solidFill>
                          <a:effectLst/>
                          <a:latin typeface="Cambria Math" panose="02040503050406030204" pitchFamily="18" charset="0"/>
                          <a:ea typeface="+mn-ea"/>
                          <a:cs typeface="+mn-cs"/>
                        </a:rPr>
                        <m:t>𝐹</m:t>
                      </m:r>
                    </m:e>
                    <m:sub>
                      <m:r>
                        <a:rPr lang="en-US" sz="1100">
                          <a:solidFill>
                            <a:schemeClr val="dk1"/>
                          </a:solidFill>
                          <a:effectLst/>
                          <a:latin typeface="Cambria Math" panose="02040503050406030204" pitchFamily="18" charset="0"/>
                          <a:ea typeface="+mn-ea"/>
                          <a:cs typeface="+mn-cs"/>
                        </a:rPr>
                        <m:t>𝑖</m:t>
                      </m:r>
                    </m:sub>
                  </m:sSub>
                </m:oMath>
              </a14:m>
              <a:r>
                <a:rPr lang="en-US" sz="1100">
                  <a:solidFill>
                    <a:schemeClr val="dk1"/>
                  </a:solidFill>
                  <a:effectLst/>
                  <a:latin typeface="+mn-lt"/>
                  <a:ea typeface="+mn-ea"/>
                  <a:cs typeface="+mn-cs"/>
                </a:rPr>
                <a:t>= decimal fraction of calcination achieved for carbonate based material</a:t>
              </a:r>
              <a:r>
                <a:rPr lang="en-US" sz="1100" baseline="0">
                  <a:solidFill>
                    <a:schemeClr val="dk1"/>
                  </a:solidFill>
                  <a:effectLst/>
                  <a:latin typeface="+mn-lt"/>
                  <a:ea typeface="+mn-ea"/>
                  <a:cs typeface="+mn-cs"/>
                </a:rPr>
                <a:t> </a:t>
              </a:r>
              <a:r>
                <a:rPr lang="en-US" sz="1100" i="1" baseline="0">
                  <a:solidFill>
                    <a:schemeClr val="dk1"/>
                  </a:solidFill>
                  <a:effectLst/>
                  <a:latin typeface="+mn-lt"/>
                  <a:ea typeface="+mn-ea"/>
                  <a:cs typeface="+mn-cs"/>
                </a:rPr>
                <a:t>i</a:t>
              </a:r>
              <a:r>
                <a:rPr lang="en-US" sz="1100">
                  <a:solidFill>
                    <a:schemeClr val="dk1"/>
                  </a:solidFill>
                  <a:effectLst/>
                  <a:latin typeface="+mn-lt"/>
                  <a:ea typeface="+mn-ea"/>
                  <a:cs typeface="+mn-cs"/>
                </a:rPr>
                <a:t> (assumed to be 1.0)</a:t>
              </a:r>
            </a:p>
            <a:p>
              <a:endParaRPr lang="en-US" sz="1100"/>
            </a:p>
          </xdr:txBody>
        </xdr:sp>
      </mc:Choice>
      <mc:Fallback xmlns="">
        <xdr:sp macro="" textlink="">
          <xdr:nvSpPr>
            <xdr:cNvPr id="3" name="TextBox 2">
              <a:extLst>
                <a:ext uri="{FF2B5EF4-FFF2-40B4-BE49-F238E27FC236}">
                  <a16:creationId xmlns:a16="http://schemas.microsoft.com/office/drawing/2014/main" id="{48D11DB7-548A-148C-D53F-F588D14CB28B}"/>
                </a:ext>
              </a:extLst>
            </xdr:cNvPr>
            <xdr:cNvSpPr txBox="1"/>
          </xdr:nvSpPr>
          <xdr:spPr>
            <a:xfrm>
              <a:off x="5763491" y="4814454"/>
              <a:ext cx="4710545" cy="2251364"/>
            </a:xfrm>
            <a:prstGeom prst="rect">
              <a:avLst/>
            </a:prstGeom>
            <a:solidFill>
              <a:srgbClr val="D9E1DD"/>
            </a:solidFill>
            <a:ln w="19050" cmpd="sng">
              <a:solidFill>
                <a:srgbClr val="233F2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x-IV_mathan" sz="1100" i="0">
                  <a:solidFill>
                    <a:schemeClr val="dk1"/>
                  </a:solidFill>
                  <a:effectLst/>
                  <a:latin typeface="Cambria Math" panose="02040503050406030204" pitchFamily="18" charset="0"/>
                  <a:ea typeface="+mn-ea"/>
                  <a:cs typeface="+mn-cs"/>
                </a:rPr>
                <a:t>𝐸_𝐶𝑂2=∑_(𝑖=1)^𝑛▒〖𝑀𝐹_𝑖∗(𝑀_𝑖∗2000/2205)∗𝐸𝐹_𝑖∗𝐹_𝑖 〗</a:t>
              </a:r>
              <a:endParaRPr lang="x-IV_mathan"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i="0">
                  <a:solidFill>
                    <a:schemeClr val="dk1"/>
                  </a:solidFill>
                  <a:effectLst/>
                  <a:latin typeface="Cambria Math" panose="02040503050406030204" pitchFamily="18" charset="0"/>
                  <a:ea typeface="+mn-ea"/>
                  <a:cs typeface="+mn-cs"/>
                </a:rPr>
                <a:t>𝐸_𝐶𝑂2</a:t>
              </a:r>
              <a:r>
                <a:rPr lang="en-US" sz="1100" i="1">
                  <a:solidFill>
                    <a:schemeClr val="dk1"/>
                  </a:solidFill>
                  <a:effectLst/>
                  <a:latin typeface="+mn-lt"/>
                  <a:ea typeface="+mn-ea"/>
                  <a:cs typeface="+mn-cs"/>
                </a:rPr>
                <a:t>=</a:t>
              </a:r>
              <a:r>
                <a:rPr lang="en-US" sz="1100">
                  <a:solidFill>
                    <a:schemeClr val="dk1"/>
                  </a:solidFill>
                  <a:effectLst/>
                  <a:latin typeface="+mn-lt"/>
                  <a:ea typeface="+mn-ea"/>
                  <a:cs typeface="+mn-cs"/>
                </a:rPr>
                <a:t> Process emissions of CO2 from furnace</a:t>
              </a:r>
            </a:p>
            <a:p>
              <a:r>
                <a:rPr lang="en-US" sz="1100" i="0">
                  <a:solidFill>
                    <a:schemeClr val="dk1"/>
                  </a:solidFill>
                  <a:effectLst/>
                  <a:latin typeface="Cambria Math" panose="02040503050406030204" pitchFamily="18" charset="0"/>
                  <a:ea typeface="+mn-ea"/>
                  <a:cs typeface="+mn-cs"/>
                </a:rPr>
                <a:t>𝑀𝐹_𝑖</a:t>
              </a:r>
              <a:r>
                <a:rPr lang="en-US" sz="1100">
                  <a:solidFill>
                    <a:schemeClr val="dk1"/>
                  </a:solidFill>
                  <a:effectLst/>
                  <a:latin typeface="+mn-lt"/>
                  <a:ea typeface="+mn-ea"/>
                  <a:cs typeface="+mn-cs"/>
                </a:rPr>
                <a:t>= average decimal mass fraction of carbonate based mineral </a:t>
              </a:r>
              <a:r>
                <a:rPr lang="en-US" sz="1100" i="1">
                  <a:solidFill>
                    <a:schemeClr val="dk1"/>
                  </a:solidFill>
                  <a:effectLst/>
                  <a:latin typeface="+mn-lt"/>
                  <a:ea typeface="+mn-ea"/>
                  <a:cs typeface="+mn-cs"/>
                </a:rPr>
                <a:t>i</a:t>
              </a:r>
              <a:r>
                <a:rPr lang="en-US" sz="1100">
                  <a:solidFill>
                    <a:schemeClr val="dk1"/>
                  </a:solidFill>
                  <a:effectLst/>
                  <a:latin typeface="+mn-lt"/>
                  <a:ea typeface="+mn-ea"/>
                  <a:cs typeface="+mn-cs"/>
                </a:rPr>
                <a:t> in carbonate based raw material </a:t>
              </a:r>
              <a:r>
                <a:rPr lang="en-US" sz="1100" i="1">
                  <a:solidFill>
                    <a:schemeClr val="dk1"/>
                  </a:solidFill>
                  <a:effectLst/>
                  <a:latin typeface="+mn-lt"/>
                  <a:ea typeface="+mn-ea"/>
                  <a:cs typeface="+mn-cs"/>
                </a:rPr>
                <a:t>i</a:t>
              </a:r>
              <a:r>
                <a:rPr lang="en-US" sz="1100">
                  <a:solidFill>
                    <a:schemeClr val="dk1"/>
                  </a:solidFill>
                  <a:effectLst/>
                  <a:latin typeface="+mn-lt"/>
                  <a:ea typeface="+mn-ea"/>
                  <a:cs typeface="+mn-cs"/>
                </a:rPr>
                <a:t> </a:t>
              </a:r>
            </a:p>
            <a:p>
              <a:r>
                <a:rPr lang="en-US" sz="1100" i="0">
                  <a:solidFill>
                    <a:schemeClr val="dk1"/>
                  </a:solidFill>
                  <a:effectLst/>
                  <a:latin typeface="Cambria Math" panose="02040503050406030204" pitchFamily="18" charset="0"/>
                  <a:ea typeface="+mn-ea"/>
                  <a:cs typeface="+mn-cs"/>
                </a:rPr>
                <a:t>𝑀_𝑖</a:t>
              </a:r>
              <a:r>
                <a:rPr lang="en-US" sz="1100">
                  <a:solidFill>
                    <a:schemeClr val="dk1"/>
                  </a:solidFill>
                  <a:effectLst/>
                  <a:latin typeface="+mn-lt"/>
                  <a:ea typeface="+mn-ea"/>
                  <a:cs typeface="+mn-cs"/>
                </a:rPr>
                <a:t>= annual amount of carbonate based raw material </a:t>
              </a:r>
              <a:r>
                <a:rPr lang="en-US" sz="1100" i="1">
                  <a:solidFill>
                    <a:schemeClr val="dk1"/>
                  </a:solidFill>
                  <a:effectLst/>
                  <a:latin typeface="+mn-lt"/>
                  <a:ea typeface="+mn-ea"/>
                  <a:cs typeface="+mn-cs"/>
                </a:rPr>
                <a:t>i</a:t>
              </a:r>
              <a:r>
                <a:rPr lang="en-US" sz="1100">
                  <a:solidFill>
                    <a:schemeClr val="dk1"/>
                  </a:solidFill>
                  <a:effectLst/>
                  <a:latin typeface="+mn-lt"/>
                  <a:ea typeface="+mn-ea"/>
                  <a:cs typeface="+mn-cs"/>
                </a:rPr>
                <a:t> charged to furnace</a:t>
              </a:r>
            </a:p>
            <a:p>
              <a:r>
                <a:rPr lang="en-US" sz="1100" i="0">
                  <a:solidFill>
                    <a:schemeClr val="dk1"/>
                  </a:solidFill>
                  <a:effectLst/>
                  <a:latin typeface="Cambria Math" panose="02040503050406030204" pitchFamily="18" charset="0"/>
                  <a:ea typeface="+mn-ea"/>
                  <a:cs typeface="+mn-cs"/>
                </a:rPr>
                <a:t>(2000/2205)</a:t>
              </a:r>
              <a:r>
                <a:rPr lang="en-US" sz="1100">
                  <a:solidFill>
                    <a:schemeClr val="dk1"/>
                  </a:solidFill>
                  <a:effectLst/>
                  <a:latin typeface="+mn-lt"/>
                  <a:ea typeface="+mn-ea"/>
                  <a:cs typeface="+mn-cs"/>
                </a:rPr>
                <a:t>= conversion from short tons to metric tons</a:t>
              </a:r>
            </a:p>
            <a:p>
              <a:r>
                <a:rPr lang="en-US" sz="1100" i="0">
                  <a:solidFill>
                    <a:schemeClr val="dk1"/>
                  </a:solidFill>
                  <a:effectLst/>
                  <a:latin typeface="Cambria Math" panose="02040503050406030204" pitchFamily="18" charset="0"/>
                  <a:ea typeface="+mn-ea"/>
                  <a:cs typeface="+mn-cs"/>
                </a:rPr>
                <a:t>𝐸𝐹_𝑖</a:t>
              </a:r>
              <a:r>
                <a:rPr lang="en-US" sz="1100">
                  <a:solidFill>
                    <a:schemeClr val="dk1"/>
                  </a:solidFill>
                  <a:effectLst/>
                  <a:latin typeface="+mn-lt"/>
                  <a:ea typeface="+mn-ea"/>
                  <a:cs typeface="+mn-cs"/>
                </a:rPr>
                <a:t>= emission factor for carbonate based raw material </a:t>
              </a:r>
              <a:r>
                <a:rPr lang="en-US" sz="1100" i="1">
                  <a:solidFill>
                    <a:schemeClr val="dk1"/>
                  </a:solidFill>
                  <a:effectLst/>
                  <a:latin typeface="+mn-lt"/>
                  <a:ea typeface="+mn-ea"/>
                  <a:cs typeface="+mn-cs"/>
                </a:rPr>
                <a:t>i</a:t>
              </a:r>
            </a:p>
            <a:p>
              <a:r>
                <a:rPr lang="en-US" sz="1100" i="0">
                  <a:solidFill>
                    <a:schemeClr val="dk1"/>
                  </a:solidFill>
                  <a:effectLst/>
                  <a:latin typeface="Cambria Math" panose="02040503050406030204" pitchFamily="18" charset="0"/>
                  <a:ea typeface="+mn-ea"/>
                  <a:cs typeface="+mn-cs"/>
                </a:rPr>
                <a:t>𝐹_𝑖</a:t>
              </a:r>
              <a:r>
                <a:rPr lang="en-US" sz="1100">
                  <a:solidFill>
                    <a:schemeClr val="dk1"/>
                  </a:solidFill>
                  <a:effectLst/>
                  <a:latin typeface="+mn-lt"/>
                  <a:ea typeface="+mn-ea"/>
                  <a:cs typeface="+mn-cs"/>
                </a:rPr>
                <a:t>= decimal fraction of calcination achieved for carbonate based material</a:t>
              </a:r>
              <a:r>
                <a:rPr lang="en-US" sz="1100" baseline="0">
                  <a:solidFill>
                    <a:schemeClr val="dk1"/>
                  </a:solidFill>
                  <a:effectLst/>
                  <a:latin typeface="+mn-lt"/>
                  <a:ea typeface="+mn-ea"/>
                  <a:cs typeface="+mn-cs"/>
                </a:rPr>
                <a:t> </a:t>
              </a:r>
              <a:r>
                <a:rPr lang="en-US" sz="1100" i="1" baseline="0">
                  <a:solidFill>
                    <a:schemeClr val="dk1"/>
                  </a:solidFill>
                  <a:effectLst/>
                  <a:latin typeface="+mn-lt"/>
                  <a:ea typeface="+mn-ea"/>
                  <a:cs typeface="+mn-cs"/>
                </a:rPr>
                <a:t>i</a:t>
              </a:r>
              <a:r>
                <a:rPr lang="en-US" sz="1100">
                  <a:solidFill>
                    <a:schemeClr val="dk1"/>
                  </a:solidFill>
                  <a:effectLst/>
                  <a:latin typeface="+mn-lt"/>
                  <a:ea typeface="+mn-ea"/>
                  <a:cs typeface="+mn-cs"/>
                </a:rPr>
                <a:t> (assumed to be 1.0)</a:t>
              </a:r>
            </a:p>
            <a:p>
              <a:endParaRPr lang="en-US" sz="1100"/>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1824990</xdr:colOff>
      <xdr:row>0</xdr:row>
      <xdr:rowOff>644202</xdr:rowOff>
    </xdr:to>
    <xdr:pic>
      <xdr:nvPicPr>
        <xdr:cNvPr id="2" name="Picture 1">
          <a:hlinkClick xmlns:r="http://schemas.openxmlformats.org/officeDocument/2006/relationships" r:id="rId1"/>
          <a:extLst>
            <a:ext uri="{FF2B5EF4-FFF2-40B4-BE49-F238E27FC236}">
              <a16:creationId xmlns:a16="http://schemas.microsoft.com/office/drawing/2014/main" id="{8ECA0C3C-B10C-4360-9FDA-F102D323E9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85725"/>
          <a:ext cx="1777365" cy="552762"/>
        </a:xfrm>
        <a:prstGeom prst="rect">
          <a:avLst/>
        </a:prstGeom>
      </xdr:spPr>
    </xdr:pic>
    <xdr:clientData/>
  </xdr:twoCellAnchor>
  <xdr:twoCellAnchor>
    <xdr:from>
      <xdr:col>4</xdr:col>
      <xdr:colOff>343246</xdr:colOff>
      <xdr:row>13</xdr:row>
      <xdr:rowOff>22167</xdr:rowOff>
    </xdr:from>
    <xdr:to>
      <xdr:col>7</xdr:col>
      <xdr:colOff>1027142</xdr:colOff>
      <xdr:row>23</xdr:row>
      <xdr:rowOff>20782</xdr:rowOff>
    </xdr:to>
    <xdr:sp macro="" textlink="">
      <xdr:nvSpPr>
        <xdr:cNvPr id="6" name="Rectangle 5">
          <a:extLst>
            <a:ext uri="{FF2B5EF4-FFF2-40B4-BE49-F238E27FC236}">
              <a16:creationId xmlns:a16="http://schemas.microsoft.com/office/drawing/2014/main" id="{2FBC307E-D509-21DB-14BD-E869D3FD5A23}"/>
            </a:ext>
          </a:extLst>
        </xdr:cNvPr>
        <xdr:cNvSpPr/>
      </xdr:nvSpPr>
      <xdr:spPr>
        <a:xfrm>
          <a:off x="6522373" y="6984076"/>
          <a:ext cx="3600278" cy="2007524"/>
        </a:xfrm>
        <a:prstGeom prst="rect">
          <a:avLst/>
        </a:prstGeom>
        <a:solidFill>
          <a:srgbClr val="D9E1D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Cambria Math" panose="02040503050406030204" pitchFamily="18" charset="0"/>
            <a:ea typeface="Cambria Math" panose="02040503050406030204" pitchFamily="18" charset="0"/>
          </a:endParaRPr>
        </a:p>
        <a:p>
          <a:pPr algn="l"/>
          <a:endParaRPr lang="en-US" sz="1100">
            <a:solidFill>
              <a:schemeClr val="tx1"/>
            </a:solidFill>
            <a:latin typeface="Cambria Math" panose="02040503050406030204" pitchFamily="18" charset="0"/>
            <a:ea typeface="Cambria Math" panose="02040503050406030204" pitchFamily="18" charset="0"/>
          </a:endParaRPr>
        </a:p>
        <a:p>
          <a:pPr algn="l"/>
          <a:r>
            <a:rPr lang="en-US" sz="1100">
              <a:solidFill>
                <a:schemeClr val="tx1"/>
              </a:solidFill>
              <a:latin typeface="Cambria Math" panose="02040503050406030204" pitchFamily="18" charset="0"/>
              <a:ea typeface="Cambria Math" panose="02040503050406030204" pitchFamily="18" charset="0"/>
            </a:rPr>
            <a:t>Ei - Annual Production Process Emissions of Input Gas</a:t>
          </a:r>
        </a:p>
        <a:p>
          <a:r>
            <a:rPr lang="en-US" sz="1100">
              <a:solidFill>
                <a:schemeClr val="tx1"/>
              </a:solidFill>
              <a:effectLst/>
              <a:latin typeface="Cambria Math" panose="02040503050406030204" pitchFamily="18" charset="0"/>
              <a:ea typeface="Cambria Math" panose="02040503050406030204" pitchFamily="18" charset="0"/>
              <a:cs typeface="+mn-cs"/>
            </a:rPr>
            <a:t>S = 100 percent of annual manufacturing capacity of a facility as calculated using equation I-5 to 40</a:t>
          </a:r>
          <a:r>
            <a:rPr lang="en-US" sz="1100" baseline="0">
              <a:solidFill>
                <a:schemeClr val="tx1"/>
              </a:solidFill>
              <a:effectLst/>
              <a:latin typeface="Cambria Math" panose="02040503050406030204" pitchFamily="18" charset="0"/>
              <a:ea typeface="Cambria Math" panose="02040503050406030204" pitchFamily="18" charset="0"/>
              <a:cs typeface="+mn-cs"/>
            </a:rPr>
            <a:t> CFR Part 98 subpart I</a:t>
          </a:r>
          <a:r>
            <a:rPr lang="en-US" sz="1100">
              <a:solidFill>
                <a:schemeClr val="tx1"/>
              </a:solidFill>
              <a:effectLst/>
              <a:latin typeface="Cambria Math" panose="02040503050406030204" pitchFamily="18" charset="0"/>
              <a:ea typeface="Cambria Math" panose="02040503050406030204" pitchFamily="18" charset="0"/>
              <a:cs typeface="+mn-cs"/>
            </a:rPr>
            <a:t> (m</a:t>
          </a:r>
          <a:r>
            <a:rPr lang="en-US" sz="1100" baseline="30000">
              <a:solidFill>
                <a:schemeClr val="tx1"/>
              </a:solidFill>
              <a:effectLst/>
              <a:latin typeface="Cambria Math" panose="02040503050406030204" pitchFamily="18" charset="0"/>
              <a:ea typeface="Cambria Math" panose="02040503050406030204" pitchFamily="18" charset="0"/>
              <a:cs typeface="+mn-cs"/>
            </a:rPr>
            <a:t>2</a:t>
          </a:r>
          <a:r>
            <a:rPr lang="en-US" sz="1100">
              <a:solidFill>
                <a:schemeClr val="tx1"/>
              </a:solidFill>
              <a:effectLst/>
              <a:latin typeface="Cambria Math" panose="02040503050406030204" pitchFamily="18" charset="0"/>
              <a:ea typeface="Cambria Math" panose="02040503050406030204" pitchFamily="18" charset="0"/>
              <a:cs typeface="+mn-cs"/>
            </a:rPr>
            <a:t>)</a:t>
          </a:r>
          <a:endParaRPr lang="en-US">
            <a:solidFill>
              <a:schemeClr val="tx1"/>
            </a:solidFill>
            <a:effectLst/>
            <a:latin typeface="Cambria Math" panose="02040503050406030204" pitchFamily="18" charset="0"/>
            <a:ea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chemeClr val="tx1"/>
              </a:solidFill>
              <a:latin typeface="Cambria Math" panose="02040503050406030204" pitchFamily="18" charset="0"/>
              <a:ea typeface="Cambria Math" panose="02040503050406030204" pitchFamily="18" charset="0"/>
            </a:rPr>
            <a:t>EF</a:t>
          </a:r>
          <a:r>
            <a:rPr lang="en-US" baseline="-25000">
              <a:solidFill>
                <a:schemeClr val="tx1"/>
              </a:solidFill>
              <a:latin typeface="Cambria Math" panose="02040503050406030204" pitchFamily="18" charset="0"/>
              <a:ea typeface="Cambria Math" panose="02040503050406030204" pitchFamily="18" charset="0"/>
            </a:rPr>
            <a:t>i</a:t>
          </a:r>
          <a:r>
            <a:rPr lang="en-US">
              <a:solidFill>
                <a:schemeClr val="tx1"/>
              </a:solidFill>
              <a:latin typeface="Cambria Math" panose="02040503050406030204" pitchFamily="18" charset="0"/>
              <a:ea typeface="Cambria Math" panose="02040503050406030204" pitchFamily="18" charset="0"/>
            </a:rPr>
            <a:t> = Emission factor for gas i (kg/m</a:t>
          </a:r>
          <a:r>
            <a:rPr lang="en-US" baseline="30000">
              <a:solidFill>
                <a:schemeClr val="tx1"/>
              </a:solidFill>
              <a:latin typeface="Cambria Math" panose="02040503050406030204" pitchFamily="18" charset="0"/>
              <a:ea typeface="Cambria Math" panose="02040503050406030204" pitchFamily="18" charset="0"/>
            </a:rPr>
            <a:t>2</a:t>
          </a:r>
          <a:r>
            <a:rPr lang="en-US">
              <a:solidFill>
                <a:schemeClr val="tx1"/>
              </a:solidFill>
              <a:latin typeface="Cambria Math" panose="02040503050406030204" pitchFamily="18" charset="0"/>
              <a:ea typeface="Cambria Math" panose="02040503050406030204" pitchFamily="18" charset="0"/>
            </a:rPr>
            <a:t>) shown in table I-1 to this subpart. </a:t>
          </a: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chemeClr val="tx1"/>
              </a:solidFill>
              <a:latin typeface="Cambria Math" panose="02040503050406030204" pitchFamily="18" charset="0"/>
              <a:ea typeface="Cambria Math" panose="02040503050406030204" pitchFamily="18" charset="0"/>
            </a:rPr>
            <a:t>GWP</a:t>
          </a:r>
          <a:r>
            <a:rPr lang="en-US" baseline="-25000">
              <a:solidFill>
                <a:schemeClr val="tx1"/>
              </a:solidFill>
              <a:latin typeface="Cambria Math" panose="02040503050406030204" pitchFamily="18" charset="0"/>
              <a:ea typeface="Cambria Math" panose="02040503050406030204" pitchFamily="18" charset="0"/>
            </a:rPr>
            <a:t>i</a:t>
          </a:r>
          <a:r>
            <a:rPr lang="en-US">
              <a:solidFill>
                <a:schemeClr val="tx1"/>
              </a:solidFill>
              <a:latin typeface="Cambria Math" panose="02040503050406030204" pitchFamily="18" charset="0"/>
              <a:ea typeface="Cambria Math" panose="02040503050406030204" pitchFamily="18" charset="0"/>
            </a:rPr>
            <a:t> = Gas-appropriate GWP</a:t>
          </a: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chemeClr val="tx1"/>
              </a:solidFill>
              <a:latin typeface="Cambria Math" panose="02040503050406030204" pitchFamily="18" charset="0"/>
              <a:ea typeface="Cambria Math" panose="02040503050406030204" pitchFamily="18" charset="0"/>
            </a:rPr>
            <a:t>0.001 = Conversion factor from kg to metric tons. </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atin typeface="Cambria Math" panose="02040503050406030204" pitchFamily="18" charset="0"/>
            <a:ea typeface="Cambria Math" panose="02040503050406030204" pitchFamily="18" charset="0"/>
          </a:endParaRPr>
        </a:p>
      </xdr:txBody>
    </xdr:sp>
    <xdr:clientData/>
  </xdr:twoCellAnchor>
  <xdr:twoCellAnchor editAs="oneCell">
    <xdr:from>
      <xdr:col>4</xdr:col>
      <xdr:colOff>919705</xdr:colOff>
      <xdr:row>11</xdr:row>
      <xdr:rowOff>38663</xdr:rowOff>
    </xdr:from>
    <xdr:to>
      <xdr:col>7</xdr:col>
      <xdr:colOff>99666</xdr:colOff>
      <xdr:row>11</xdr:row>
      <xdr:rowOff>199182</xdr:rowOff>
    </xdr:to>
    <xdr:pic>
      <xdr:nvPicPr>
        <xdr:cNvPr id="13" name="Picture 12">
          <a:extLst>
            <a:ext uri="{FF2B5EF4-FFF2-40B4-BE49-F238E27FC236}">
              <a16:creationId xmlns:a16="http://schemas.microsoft.com/office/drawing/2014/main" id="{E1966E12-55EE-441D-9687-8A4DE9B8B865}"/>
            </a:ext>
          </a:extLst>
        </xdr:cNvPr>
        <xdr:cNvPicPr>
          <a:picLocks noChangeAspect="1"/>
        </xdr:cNvPicPr>
      </xdr:nvPicPr>
      <xdr:blipFill rotWithShape="1">
        <a:blip xmlns:r="http://schemas.openxmlformats.org/officeDocument/2006/relationships" r:embed="rId3"/>
        <a:srcRect r="56338" b="3046"/>
        <a:stretch/>
      </xdr:blipFill>
      <xdr:spPr>
        <a:xfrm>
          <a:off x="6896643" y="4461835"/>
          <a:ext cx="2091039" cy="160519"/>
        </a:xfrm>
        <a:prstGeom prst="rect">
          <a:avLst/>
        </a:prstGeom>
      </xdr:spPr>
    </xdr:pic>
    <xdr:clientData/>
  </xdr:twoCellAnchor>
  <xdr:twoCellAnchor editAs="oneCell">
    <xdr:from>
      <xdr:col>7</xdr:col>
      <xdr:colOff>4567</xdr:colOff>
      <xdr:row>11</xdr:row>
      <xdr:rowOff>36714</xdr:rowOff>
    </xdr:from>
    <xdr:to>
      <xdr:col>7</xdr:col>
      <xdr:colOff>942890</xdr:colOff>
      <xdr:row>12</xdr:row>
      <xdr:rowOff>6443</xdr:rowOff>
    </xdr:to>
    <xdr:pic>
      <xdr:nvPicPr>
        <xdr:cNvPr id="15" name="Picture 14">
          <a:extLst>
            <a:ext uri="{FF2B5EF4-FFF2-40B4-BE49-F238E27FC236}">
              <a16:creationId xmlns:a16="http://schemas.microsoft.com/office/drawing/2014/main" id="{CCF6E9A9-AD5D-4018-91E0-CE1CB1B1EBC1}"/>
            </a:ext>
          </a:extLst>
        </xdr:cNvPr>
        <xdr:cNvPicPr>
          <a:picLocks noChangeAspect="1"/>
        </xdr:cNvPicPr>
      </xdr:nvPicPr>
      <xdr:blipFill rotWithShape="1">
        <a:blip xmlns:r="http://schemas.openxmlformats.org/officeDocument/2006/relationships" r:embed="rId3"/>
        <a:srcRect l="80120"/>
        <a:stretch/>
      </xdr:blipFill>
      <xdr:spPr>
        <a:xfrm>
          <a:off x="8892583" y="4459886"/>
          <a:ext cx="938323" cy="207854"/>
        </a:xfrm>
        <a:prstGeom prst="rect">
          <a:avLst/>
        </a:prstGeom>
      </xdr:spPr>
    </xdr:pic>
    <xdr:clientData/>
  </xdr:twoCellAnchor>
  <xdr:twoCellAnchor>
    <xdr:from>
      <xdr:col>7</xdr:col>
      <xdr:colOff>121053</xdr:colOff>
      <xdr:row>51</xdr:row>
      <xdr:rowOff>32385</xdr:rowOff>
    </xdr:from>
    <xdr:to>
      <xdr:col>16</xdr:col>
      <xdr:colOff>607175</xdr:colOff>
      <xdr:row>60</xdr:row>
      <xdr:rowOff>28575</xdr:rowOff>
    </xdr:to>
    <xdr:sp macro="" textlink="">
      <xdr:nvSpPr>
        <xdr:cNvPr id="25" name="Rectangle 18">
          <a:extLst>
            <a:ext uri="{FF2B5EF4-FFF2-40B4-BE49-F238E27FC236}">
              <a16:creationId xmlns:a16="http://schemas.microsoft.com/office/drawing/2014/main" id="{FD6E6655-2885-8788-F275-2C193A59E818}"/>
            </a:ext>
          </a:extLst>
        </xdr:cNvPr>
        <xdr:cNvSpPr/>
      </xdr:nvSpPr>
      <xdr:spPr>
        <a:xfrm>
          <a:off x="9198378" y="12614910"/>
          <a:ext cx="6524972" cy="1758315"/>
        </a:xfrm>
        <a:prstGeom prst="rect">
          <a:avLst/>
        </a:prstGeom>
        <a:solidFill>
          <a:srgbClr val="D9E1D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a:p>
          <a:pPr algn="l"/>
          <a:endParaRPr lang="en-US"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Ei - Annual Production Process Emissions of Input Gas</a:t>
          </a:r>
          <a:endParaRPr lang="en-US">
            <a:solidFill>
              <a:schemeClr val="tx1"/>
            </a:solidFill>
            <a:effectLst/>
          </a:endParaRPr>
        </a:p>
        <a:p>
          <a:pPr algn="l"/>
          <a:r>
            <a:rPr lang="en-US">
              <a:solidFill>
                <a:schemeClr val="tx1"/>
              </a:solidFill>
            </a:rPr>
            <a:t>C</a:t>
          </a:r>
          <a:r>
            <a:rPr lang="en-US" baseline="-25000">
              <a:solidFill>
                <a:schemeClr val="tx1"/>
              </a:solidFill>
            </a:rPr>
            <a:t>i</a:t>
          </a:r>
          <a:r>
            <a:rPr lang="en-US">
              <a:solidFill>
                <a:schemeClr val="tx1"/>
              </a:solidFill>
            </a:rPr>
            <a:t> = Annual GHG (input gas i) purchases or consumption (kg)</a:t>
          </a:r>
        </a:p>
        <a:p>
          <a:pPr algn="l"/>
          <a:r>
            <a:rPr lang="en-US">
              <a:solidFill>
                <a:schemeClr val="tx1"/>
              </a:solidFill>
            </a:rPr>
            <a:t>(1-U</a:t>
          </a:r>
          <a:r>
            <a:rPr lang="en-US" baseline="-25000">
              <a:solidFill>
                <a:schemeClr val="tx1"/>
              </a:solidFill>
            </a:rPr>
            <a:t>i</a:t>
          </a:r>
          <a:r>
            <a:rPr lang="en-US">
              <a:solidFill>
                <a:schemeClr val="tx1"/>
              </a:solidFill>
            </a:rPr>
            <a:t>), BCF</a:t>
          </a:r>
          <a:r>
            <a:rPr lang="en-US" baseline="-25000">
              <a:solidFill>
                <a:schemeClr val="tx1"/>
              </a:solidFill>
            </a:rPr>
            <a:t>4</a:t>
          </a:r>
          <a:r>
            <a:rPr lang="en-US">
              <a:solidFill>
                <a:schemeClr val="tx1"/>
              </a:solidFill>
            </a:rPr>
            <a:t>, and BC</a:t>
          </a:r>
          <a:r>
            <a:rPr lang="en-US" baseline="-25000">
              <a:solidFill>
                <a:schemeClr val="tx1"/>
              </a:solidFill>
            </a:rPr>
            <a:t>2</a:t>
          </a:r>
          <a:r>
            <a:rPr lang="en-US">
              <a:solidFill>
                <a:schemeClr val="tx1"/>
              </a:solidFill>
            </a:rPr>
            <a:t>F</a:t>
          </a:r>
          <a:r>
            <a:rPr lang="en-US" baseline="-25000">
              <a:solidFill>
                <a:schemeClr val="tx1"/>
              </a:solidFill>
            </a:rPr>
            <a:t>6</a:t>
          </a:r>
          <a:r>
            <a:rPr lang="en-US">
              <a:solidFill>
                <a:schemeClr val="tx1"/>
              </a:solidFill>
            </a:rPr>
            <a:t> = Default emission factors for the gas consumption-based threshold applicability determination</a:t>
          </a:r>
        </a:p>
        <a:p>
          <a:pPr algn="l"/>
          <a:r>
            <a:rPr lang="en-US">
              <a:solidFill>
                <a:schemeClr val="tx1"/>
              </a:solidFill>
            </a:rPr>
            <a:t>GWP</a:t>
          </a:r>
          <a:r>
            <a:rPr lang="en-US" baseline="-25000">
              <a:solidFill>
                <a:schemeClr val="tx1"/>
              </a:solidFill>
            </a:rPr>
            <a:t>i</a:t>
          </a:r>
          <a:r>
            <a:rPr lang="en-US">
              <a:solidFill>
                <a:schemeClr val="tx1"/>
              </a:solidFill>
            </a:rPr>
            <a:t> = Gas-appropriate GWP</a:t>
          </a:r>
        </a:p>
        <a:p>
          <a:r>
            <a:rPr lang="en-US">
              <a:solidFill>
                <a:schemeClr val="tx1"/>
              </a:solidFill>
            </a:rPr>
            <a:t>0.001 = Conversion factor from kg to metric tons</a:t>
          </a:r>
        </a:p>
        <a:p>
          <a:r>
            <a:rPr lang="en-US">
              <a:solidFill>
                <a:schemeClr val="tx1"/>
              </a:solidFill>
            </a:rPr>
            <a:t>i = Input gas</a:t>
          </a:r>
        </a:p>
      </xdr:txBody>
    </xdr:sp>
    <xdr:clientData/>
  </xdr:twoCellAnchor>
  <xdr:twoCellAnchor>
    <xdr:from>
      <xdr:col>4</xdr:col>
      <xdr:colOff>607219</xdr:colOff>
      <xdr:row>13</xdr:row>
      <xdr:rowOff>71437</xdr:rowOff>
    </xdr:from>
    <xdr:to>
      <xdr:col>7</xdr:col>
      <xdr:colOff>815578</xdr:colOff>
      <xdr:row>14</xdr:row>
      <xdr:rowOff>154781</xdr:rowOff>
    </xdr:to>
    <xdr:sp macro="" textlink="">
      <xdr:nvSpPr>
        <xdr:cNvPr id="4" name="Rectangle 3">
          <a:extLst>
            <a:ext uri="{FF2B5EF4-FFF2-40B4-BE49-F238E27FC236}">
              <a16:creationId xmlns:a16="http://schemas.microsoft.com/office/drawing/2014/main" id="{C1A3CAD7-C9F1-CDAD-856F-BDE8233AB1A2}"/>
            </a:ext>
          </a:extLst>
        </xdr:cNvPr>
        <xdr:cNvSpPr/>
      </xdr:nvSpPr>
      <xdr:spPr>
        <a:xfrm>
          <a:off x="6584157" y="4935140"/>
          <a:ext cx="3119437" cy="303610"/>
        </a:xfrm>
        <a:prstGeom prst="rect">
          <a:avLst/>
        </a:prstGeom>
        <a:solidFill>
          <a:srgbClr val="D9E1D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ysClr val="windowText" lastClr="000000"/>
              </a:solidFill>
              <a:latin typeface="Cambria Math" panose="02040503050406030204" pitchFamily="18" charset="0"/>
              <a:ea typeface="Cambria Math" panose="02040503050406030204" pitchFamily="18" charset="0"/>
            </a:rPr>
            <a:t>E</a:t>
          </a:r>
          <a:r>
            <a:rPr lang="en-US" sz="1200" baseline="-25000">
              <a:solidFill>
                <a:sysClr val="windowText" lastClr="000000"/>
              </a:solidFill>
              <a:latin typeface="Cambria Math" panose="02040503050406030204" pitchFamily="18" charset="0"/>
              <a:ea typeface="Cambria Math" panose="02040503050406030204" pitchFamily="18" charset="0"/>
            </a:rPr>
            <a:t>i</a:t>
          </a:r>
          <a:r>
            <a:rPr lang="en-US" sz="1200" baseline="0">
              <a:solidFill>
                <a:sysClr val="windowText" lastClr="000000"/>
              </a:solidFill>
              <a:latin typeface="Cambria Math" panose="02040503050406030204" pitchFamily="18" charset="0"/>
              <a:ea typeface="Cambria Math" panose="02040503050406030204" pitchFamily="18" charset="0"/>
            </a:rPr>
            <a:t> = S ∗ EF</a:t>
          </a:r>
          <a:r>
            <a:rPr lang="en-US" sz="1200" baseline="-25000">
              <a:solidFill>
                <a:sysClr val="windowText" lastClr="000000"/>
              </a:solidFill>
              <a:latin typeface="Cambria Math" panose="02040503050406030204" pitchFamily="18" charset="0"/>
              <a:ea typeface="Cambria Math" panose="02040503050406030204" pitchFamily="18" charset="0"/>
            </a:rPr>
            <a:t>i</a:t>
          </a:r>
          <a:r>
            <a:rPr lang="en-US" sz="1200" baseline="0">
              <a:solidFill>
                <a:sysClr val="windowText" lastClr="000000"/>
              </a:solidFill>
              <a:latin typeface="Cambria Math" panose="02040503050406030204" pitchFamily="18" charset="0"/>
              <a:ea typeface="Cambria Math" panose="02040503050406030204" pitchFamily="18" charset="0"/>
            </a:rPr>
            <a:t> </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GWP</a:t>
          </a:r>
          <a:r>
            <a:rPr lang="en-US" sz="1200" baseline="-25000">
              <a:solidFill>
                <a:sysClr val="windowText" lastClr="000000"/>
              </a:solidFill>
              <a:effectLst/>
              <a:latin typeface="Cambria Math" panose="02040503050406030204" pitchFamily="18" charset="0"/>
              <a:ea typeface="Cambria Math" panose="02040503050406030204" pitchFamily="18" charset="0"/>
              <a:cs typeface="+mn-cs"/>
            </a:rPr>
            <a:t>i</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 0.001	(Eq. I-1A)</a:t>
          </a:r>
          <a:endParaRPr lang="en-US" sz="1200">
            <a:solidFill>
              <a:sysClr val="windowText" lastClr="000000"/>
            </a:solidFill>
            <a:latin typeface="Cambria Math" panose="02040503050406030204" pitchFamily="18" charset="0"/>
            <a:ea typeface="Cambria Math" panose="02040503050406030204" pitchFamily="18" charset="0"/>
          </a:endParaRPr>
        </a:p>
      </xdr:txBody>
    </xdr:sp>
    <xdr:clientData/>
  </xdr:twoCellAnchor>
  <xdr:twoCellAnchor>
    <xdr:from>
      <xdr:col>4</xdr:col>
      <xdr:colOff>321469</xdr:colOff>
      <xdr:row>25</xdr:row>
      <xdr:rowOff>136922</xdr:rowOff>
    </xdr:from>
    <xdr:to>
      <xdr:col>7</xdr:col>
      <xdr:colOff>1005365</xdr:colOff>
      <xdr:row>35</xdr:row>
      <xdr:rowOff>40287</xdr:rowOff>
    </xdr:to>
    <xdr:sp macro="" textlink="">
      <xdr:nvSpPr>
        <xdr:cNvPr id="8" name="Rectangle 7">
          <a:extLst>
            <a:ext uri="{FF2B5EF4-FFF2-40B4-BE49-F238E27FC236}">
              <a16:creationId xmlns:a16="http://schemas.microsoft.com/office/drawing/2014/main" id="{F3B34385-39AA-4789-9CAF-0E0CB45A5A7D}"/>
            </a:ext>
          </a:extLst>
        </xdr:cNvPr>
        <xdr:cNvSpPr/>
      </xdr:nvSpPr>
      <xdr:spPr>
        <a:xfrm>
          <a:off x="6298407" y="7387828"/>
          <a:ext cx="3594974" cy="1969100"/>
        </a:xfrm>
        <a:prstGeom prst="rect">
          <a:avLst/>
        </a:prstGeom>
        <a:solidFill>
          <a:srgbClr val="D9E1D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Cambria Math" panose="02040503050406030204" pitchFamily="18" charset="0"/>
            <a:ea typeface="Cambria Math" panose="02040503050406030204" pitchFamily="18" charset="0"/>
          </a:endParaRPr>
        </a:p>
        <a:p>
          <a:pPr algn="l"/>
          <a:endParaRPr lang="en-US" sz="1100">
            <a:solidFill>
              <a:schemeClr val="tx1"/>
            </a:solidFill>
            <a:latin typeface="Cambria Math" panose="02040503050406030204" pitchFamily="18" charset="0"/>
            <a:ea typeface="Cambria Math" panose="02040503050406030204" pitchFamily="18" charset="0"/>
          </a:endParaRPr>
        </a:p>
        <a:p>
          <a:pPr algn="l"/>
          <a:r>
            <a:rPr lang="en-US" sz="1100">
              <a:solidFill>
                <a:schemeClr val="tx1"/>
              </a:solidFill>
              <a:latin typeface="Cambria Math" panose="02040503050406030204" pitchFamily="18" charset="0"/>
              <a:ea typeface="Cambria Math" panose="02040503050406030204" pitchFamily="18" charset="0"/>
            </a:rPr>
            <a:t>Ei - Annual Production Process Emissions of Input Gas</a:t>
          </a:r>
        </a:p>
        <a:p>
          <a:r>
            <a:rPr lang="en-US" sz="1100">
              <a:solidFill>
                <a:schemeClr val="tx1"/>
              </a:solidFill>
              <a:effectLst/>
              <a:latin typeface="Cambria Math" panose="02040503050406030204" pitchFamily="18" charset="0"/>
              <a:ea typeface="Cambria Math" panose="02040503050406030204" pitchFamily="18" charset="0"/>
              <a:cs typeface="+mn-cs"/>
            </a:rPr>
            <a:t>S = 100 percent of annual manufacturing capacity of a facility as calculated using equation I-5 to 40</a:t>
          </a:r>
          <a:r>
            <a:rPr lang="en-US" sz="1100" baseline="0">
              <a:solidFill>
                <a:schemeClr val="tx1"/>
              </a:solidFill>
              <a:effectLst/>
              <a:latin typeface="Cambria Math" panose="02040503050406030204" pitchFamily="18" charset="0"/>
              <a:ea typeface="Cambria Math" panose="02040503050406030204" pitchFamily="18" charset="0"/>
              <a:cs typeface="+mn-cs"/>
            </a:rPr>
            <a:t> CFR Part 98 subpart I</a:t>
          </a:r>
          <a:r>
            <a:rPr lang="en-US" sz="1100">
              <a:solidFill>
                <a:schemeClr val="tx1"/>
              </a:solidFill>
              <a:effectLst/>
              <a:latin typeface="Cambria Math" panose="02040503050406030204" pitchFamily="18" charset="0"/>
              <a:ea typeface="Cambria Math" panose="02040503050406030204" pitchFamily="18" charset="0"/>
              <a:cs typeface="+mn-cs"/>
            </a:rPr>
            <a:t> (m</a:t>
          </a:r>
          <a:r>
            <a:rPr lang="en-US" sz="1100" baseline="30000">
              <a:solidFill>
                <a:schemeClr val="tx1"/>
              </a:solidFill>
              <a:effectLst/>
              <a:latin typeface="Cambria Math" panose="02040503050406030204" pitchFamily="18" charset="0"/>
              <a:ea typeface="Cambria Math" panose="02040503050406030204" pitchFamily="18" charset="0"/>
              <a:cs typeface="+mn-cs"/>
            </a:rPr>
            <a:t>2</a:t>
          </a:r>
          <a:r>
            <a:rPr lang="en-US" sz="1100">
              <a:solidFill>
                <a:schemeClr val="tx1"/>
              </a:solidFill>
              <a:effectLst/>
              <a:latin typeface="Cambria Math" panose="02040503050406030204" pitchFamily="18" charset="0"/>
              <a:ea typeface="Cambria Math" panose="02040503050406030204" pitchFamily="18" charset="0"/>
              <a:cs typeface="+mn-cs"/>
            </a:rPr>
            <a:t>)</a:t>
          </a:r>
          <a:endParaRPr lang="en-US">
            <a:solidFill>
              <a:schemeClr val="tx1"/>
            </a:solidFill>
            <a:effectLst/>
            <a:latin typeface="Cambria Math" panose="02040503050406030204" pitchFamily="18" charset="0"/>
            <a:ea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chemeClr val="tx1"/>
              </a:solidFill>
              <a:latin typeface="Cambria Math" panose="02040503050406030204" pitchFamily="18" charset="0"/>
              <a:ea typeface="Cambria Math" panose="02040503050406030204" pitchFamily="18" charset="0"/>
            </a:rPr>
            <a:t>EF</a:t>
          </a:r>
          <a:r>
            <a:rPr lang="en-US" baseline="-25000">
              <a:solidFill>
                <a:schemeClr val="tx1"/>
              </a:solidFill>
              <a:latin typeface="Cambria Math" panose="02040503050406030204" pitchFamily="18" charset="0"/>
              <a:ea typeface="Cambria Math" panose="02040503050406030204" pitchFamily="18" charset="0"/>
            </a:rPr>
            <a:t>i</a:t>
          </a:r>
          <a:r>
            <a:rPr lang="en-US">
              <a:solidFill>
                <a:schemeClr val="tx1"/>
              </a:solidFill>
              <a:latin typeface="Cambria Math" panose="02040503050406030204" pitchFamily="18" charset="0"/>
              <a:ea typeface="Cambria Math" panose="02040503050406030204" pitchFamily="18" charset="0"/>
            </a:rPr>
            <a:t> = Emission factor for gas i (kg/m</a:t>
          </a:r>
          <a:r>
            <a:rPr lang="en-US" baseline="30000">
              <a:solidFill>
                <a:schemeClr val="tx1"/>
              </a:solidFill>
              <a:latin typeface="Cambria Math" panose="02040503050406030204" pitchFamily="18" charset="0"/>
              <a:ea typeface="Cambria Math" panose="02040503050406030204" pitchFamily="18" charset="0"/>
            </a:rPr>
            <a:t>2</a:t>
          </a:r>
          <a:r>
            <a:rPr lang="en-US">
              <a:solidFill>
                <a:schemeClr val="tx1"/>
              </a:solidFill>
              <a:latin typeface="Cambria Math" panose="02040503050406030204" pitchFamily="18" charset="0"/>
              <a:ea typeface="Cambria Math" panose="02040503050406030204" pitchFamily="18" charset="0"/>
            </a:rPr>
            <a:t>) shown in table I-1 to this subpart. </a:t>
          </a: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chemeClr val="tx1"/>
              </a:solidFill>
              <a:latin typeface="Cambria Math" panose="02040503050406030204" pitchFamily="18" charset="0"/>
              <a:ea typeface="Cambria Math" panose="02040503050406030204" pitchFamily="18" charset="0"/>
            </a:rPr>
            <a:t>GWP</a:t>
          </a:r>
          <a:r>
            <a:rPr lang="en-US" baseline="-25000">
              <a:solidFill>
                <a:schemeClr val="tx1"/>
              </a:solidFill>
              <a:latin typeface="Cambria Math" panose="02040503050406030204" pitchFamily="18" charset="0"/>
              <a:ea typeface="Cambria Math" panose="02040503050406030204" pitchFamily="18" charset="0"/>
            </a:rPr>
            <a:t>i</a:t>
          </a:r>
          <a:r>
            <a:rPr lang="en-US">
              <a:solidFill>
                <a:schemeClr val="tx1"/>
              </a:solidFill>
              <a:latin typeface="Cambria Math" panose="02040503050406030204" pitchFamily="18" charset="0"/>
              <a:ea typeface="Cambria Math" panose="02040503050406030204" pitchFamily="18" charset="0"/>
            </a:rPr>
            <a:t> = Gas-appropriate GWP</a:t>
          </a: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chemeClr val="tx1"/>
              </a:solidFill>
              <a:latin typeface="Cambria Math" panose="02040503050406030204" pitchFamily="18" charset="0"/>
              <a:ea typeface="Cambria Math" panose="02040503050406030204" pitchFamily="18" charset="0"/>
            </a:rPr>
            <a:t>0.001 = Conversion factor from kg to metric tons. </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atin typeface="Cambria Math" panose="02040503050406030204" pitchFamily="18" charset="0"/>
            <a:ea typeface="Cambria Math" panose="02040503050406030204" pitchFamily="18" charset="0"/>
          </a:endParaRPr>
        </a:p>
      </xdr:txBody>
    </xdr:sp>
    <xdr:clientData/>
  </xdr:twoCellAnchor>
  <xdr:twoCellAnchor>
    <xdr:from>
      <xdr:col>4</xdr:col>
      <xdr:colOff>585442</xdr:colOff>
      <xdr:row>25</xdr:row>
      <xdr:rowOff>186192</xdr:rowOff>
    </xdr:from>
    <xdr:to>
      <xdr:col>7</xdr:col>
      <xdr:colOff>793801</xdr:colOff>
      <xdr:row>27</xdr:row>
      <xdr:rowOff>49270</xdr:rowOff>
    </xdr:to>
    <xdr:sp macro="" textlink="">
      <xdr:nvSpPr>
        <xdr:cNvPr id="9" name="Rectangle 8">
          <a:extLst>
            <a:ext uri="{FF2B5EF4-FFF2-40B4-BE49-F238E27FC236}">
              <a16:creationId xmlns:a16="http://schemas.microsoft.com/office/drawing/2014/main" id="{92A23FE7-41C8-4B93-8FB7-2569748F2A21}"/>
            </a:ext>
          </a:extLst>
        </xdr:cNvPr>
        <xdr:cNvSpPr/>
      </xdr:nvSpPr>
      <xdr:spPr>
        <a:xfrm>
          <a:off x="6562380" y="7437098"/>
          <a:ext cx="3119437" cy="303610"/>
        </a:xfrm>
        <a:prstGeom prst="rect">
          <a:avLst/>
        </a:prstGeom>
        <a:solidFill>
          <a:srgbClr val="D9E1D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ysClr val="windowText" lastClr="000000"/>
              </a:solidFill>
              <a:latin typeface="Cambria Math" panose="02040503050406030204" pitchFamily="18" charset="0"/>
              <a:ea typeface="Cambria Math" panose="02040503050406030204" pitchFamily="18" charset="0"/>
            </a:rPr>
            <a:t>E</a:t>
          </a:r>
          <a:r>
            <a:rPr lang="en-US" sz="1200" baseline="-25000">
              <a:solidFill>
                <a:sysClr val="windowText" lastClr="000000"/>
              </a:solidFill>
              <a:latin typeface="Cambria Math" panose="02040503050406030204" pitchFamily="18" charset="0"/>
              <a:ea typeface="Cambria Math" panose="02040503050406030204" pitchFamily="18" charset="0"/>
            </a:rPr>
            <a:t>i</a:t>
          </a:r>
          <a:r>
            <a:rPr lang="en-US" sz="1200" baseline="0">
              <a:solidFill>
                <a:sysClr val="windowText" lastClr="000000"/>
              </a:solidFill>
              <a:latin typeface="Cambria Math" panose="02040503050406030204" pitchFamily="18" charset="0"/>
              <a:ea typeface="Cambria Math" panose="02040503050406030204" pitchFamily="18" charset="0"/>
            </a:rPr>
            <a:t> = S ∗ EF</a:t>
          </a:r>
          <a:r>
            <a:rPr lang="en-US" sz="1200" baseline="-25000">
              <a:solidFill>
                <a:sysClr val="windowText" lastClr="000000"/>
              </a:solidFill>
              <a:latin typeface="Cambria Math" panose="02040503050406030204" pitchFamily="18" charset="0"/>
              <a:ea typeface="Cambria Math" panose="02040503050406030204" pitchFamily="18" charset="0"/>
            </a:rPr>
            <a:t>i</a:t>
          </a:r>
          <a:r>
            <a:rPr lang="en-US" sz="1200" baseline="0">
              <a:solidFill>
                <a:sysClr val="windowText" lastClr="000000"/>
              </a:solidFill>
              <a:latin typeface="Cambria Math" panose="02040503050406030204" pitchFamily="18" charset="0"/>
              <a:ea typeface="Cambria Math" panose="02040503050406030204" pitchFamily="18" charset="0"/>
            </a:rPr>
            <a:t> </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GWP</a:t>
          </a:r>
          <a:r>
            <a:rPr lang="en-US" sz="1200" baseline="-25000">
              <a:solidFill>
                <a:sysClr val="windowText" lastClr="000000"/>
              </a:solidFill>
              <a:effectLst/>
              <a:latin typeface="Cambria Math" panose="02040503050406030204" pitchFamily="18" charset="0"/>
              <a:ea typeface="Cambria Math" panose="02040503050406030204" pitchFamily="18" charset="0"/>
              <a:cs typeface="+mn-cs"/>
            </a:rPr>
            <a:t>i</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 0.001	(Eq. I-1A)</a:t>
          </a:r>
          <a:endParaRPr lang="en-US" sz="1200">
            <a:solidFill>
              <a:sysClr val="windowText" lastClr="000000"/>
            </a:solidFill>
            <a:latin typeface="Cambria Math" panose="02040503050406030204" pitchFamily="18" charset="0"/>
            <a:ea typeface="Cambria Math" panose="02040503050406030204" pitchFamily="18" charset="0"/>
          </a:endParaRPr>
        </a:p>
      </xdr:txBody>
    </xdr:sp>
    <xdr:clientData/>
  </xdr:twoCellAnchor>
  <xdr:twoCellAnchor>
    <xdr:from>
      <xdr:col>4</xdr:col>
      <xdr:colOff>321469</xdr:colOff>
      <xdr:row>37</xdr:row>
      <xdr:rowOff>11906</xdr:rowOff>
    </xdr:from>
    <xdr:to>
      <xdr:col>7</xdr:col>
      <xdr:colOff>1005365</xdr:colOff>
      <xdr:row>46</xdr:row>
      <xdr:rowOff>183163</xdr:rowOff>
    </xdr:to>
    <xdr:sp macro="" textlink="">
      <xdr:nvSpPr>
        <xdr:cNvPr id="22" name="Rectangle 21">
          <a:extLst>
            <a:ext uri="{FF2B5EF4-FFF2-40B4-BE49-F238E27FC236}">
              <a16:creationId xmlns:a16="http://schemas.microsoft.com/office/drawing/2014/main" id="{1E68D0D1-B2E9-4A1B-BBAD-73648E105B80}"/>
            </a:ext>
          </a:extLst>
        </xdr:cNvPr>
        <xdr:cNvSpPr/>
      </xdr:nvSpPr>
      <xdr:spPr>
        <a:xfrm>
          <a:off x="6298407" y="9757172"/>
          <a:ext cx="3594974" cy="1969100"/>
        </a:xfrm>
        <a:prstGeom prst="rect">
          <a:avLst/>
        </a:prstGeom>
        <a:solidFill>
          <a:srgbClr val="D9E1D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Cambria Math" panose="02040503050406030204" pitchFamily="18" charset="0"/>
            <a:ea typeface="Cambria Math" panose="02040503050406030204" pitchFamily="18" charset="0"/>
          </a:endParaRPr>
        </a:p>
        <a:p>
          <a:pPr algn="l"/>
          <a:endParaRPr lang="en-US" sz="1100">
            <a:solidFill>
              <a:schemeClr val="tx1"/>
            </a:solidFill>
            <a:latin typeface="Cambria Math" panose="02040503050406030204" pitchFamily="18" charset="0"/>
            <a:ea typeface="Cambria Math" panose="02040503050406030204" pitchFamily="18" charset="0"/>
          </a:endParaRPr>
        </a:p>
        <a:p>
          <a:pPr algn="l"/>
          <a:r>
            <a:rPr lang="en-US" sz="1100">
              <a:solidFill>
                <a:schemeClr val="tx1"/>
              </a:solidFill>
              <a:latin typeface="Cambria Math" panose="02040503050406030204" pitchFamily="18" charset="0"/>
              <a:ea typeface="Cambria Math" panose="02040503050406030204" pitchFamily="18" charset="0"/>
            </a:rPr>
            <a:t>Ei - Annual Production Process Emissions of Input Gas</a:t>
          </a:r>
        </a:p>
        <a:p>
          <a:r>
            <a:rPr lang="en-US" sz="1100">
              <a:solidFill>
                <a:schemeClr val="tx1"/>
              </a:solidFill>
              <a:effectLst/>
              <a:latin typeface="Cambria Math" panose="02040503050406030204" pitchFamily="18" charset="0"/>
              <a:ea typeface="Cambria Math" panose="02040503050406030204" pitchFamily="18" charset="0"/>
              <a:cs typeface="+mn-cs"/>
            </a:rPr>
            <a:t>S = 100 percent of annual manufacturing capacity of a facility as calculated using equation I-5 to 40</a:t>
          </a:r>
          <a:r>
            <a:rPr lang="en-US" sz="1100" baseline="0">
              <a:solidFill>
                <a:schemeClr val="tx1"/>
              </a:solidFill>
              <a:effectLst/>
              <a:latin typeface="Cambria Math" panose="02040503050406030204" pitchFamily="18" charset="0"/>
              <a:ea typeface="Cambria Math" panose="02040503050406030204" pitchFamily="18" charset="0"/>
              <a:cs typeface="+mn-cs"/>
            </a:rPr>
            <a:t> CFR Part 98 subpart I</a:t>
          </a:r>
          <a:r>
            <a:rPr lang="en-US" sz="1100">
              <a:solidFill>
                <a:schemeClr val="tx1"/>
              </a:solidFill>
              <a:effectLst/>
              <a:latin typeface="Cambria Math" panose="02040503050406030204" pitchFamily="18" charset="0"/>
              <a:ea typeface="Cambria Math" panose="02040503050406030204" pitchFamily="18" charset="0"/>
              <a:cs typeface="+mn-cs"/>
            </a:rPr>
            <a:t> (m</a:t>
          </a:r>
          <a:r>
            <a:rPr lang="en-US" sz="1100" baseline="30000">
              <a:solidFill>
                <a:schemeClr val="tx1"/>
              </a:solidFill>
              <a:effectLst/>
              <a:latin typeface="Cambria Math" panose="02040503050406030204" pitchFamily="18" charset="0"/>
              <a:ea typeface="Cambria Math" panose="02040503050406030204" pitchFamily="18" charset="0"/>
              <a:cs typeface="+mn-cs"/>
            </a:rPr>
            <a:t>2</a:t>
          </a:r>
          <a:r>
            <a:rPr lang="en-US" sz="1100">
              <a:solidFill>
                <a:schemeClr val="tx1"/>
              </a:solidFill>
              <a:effectLst/>
              <a:latin typeface="Cambria Math" panose="02040503050406030204" pitchFamily="18" charset="0"/>
              <a:ea typeface="Cambria Math" panose="02040503050406030204" pitchFamily="18" charset="0"/>
              <a:cs typeface="+mn-cs"/>
            </a:rPr>
            <a:t>)</a:t>
          </a:r>
          <a:endParaRPr lang="en-US">
            <a:solidFill>
              <a:schemeClr val="tx1"/>
            </a:solidFill>
            <a:effectLst/>
            <a:latin typeface="Cambria Math" panose="02040503050406030204" pitchFamily="18" charset="0"/>
            <a:ea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chemeClr val="tx1"/>
              </a:solidFill>
              <a:latin typeface="Cambria Math" panose="02040503050406030204" pitchFamily="18" charset="0"/>
              <a:ea typeface="Cambria Math" panose="02040503050406030204" pitchFamily="18" charset="0"/>
            </a:rPr>
            <a:t>EF</a:t>
          </a:r>
          <a:r>
            <a:rPr lang="en-US" baseline="-25000">
              <a:solidFill>
                <a:schemeClr val="tx1"/>
              </a:solidFill>
              <a:latin typeface="Cambria Math" panose="02040503050406030204" pitchFamily="18" charset="0"/>
              <a:ea typeface="Cambria Math" panose="02040503050406030204" pitchFamily="18" charset="0"/>
            </a:rPr>
            <a:t>i</a:t>
          </a:r>
          <a:r>
            <a:rPr lang="en-US">
              <a:solidFill>
                <a:schemeClr val="tx1"/>
              </a:solidFill>
              <a:latin typeface="Cambria Math" panose="02040503050406030204" pitchFamily="18" charset="0"/>
              <a:ea typeface="Cambria Math" panose="02040503050406030204" pitchFamily="18" charset="0"/>
            </a:rPr>
            <a:t> = Emission factor for gas i (kg/m</a:t>
          </a:r>
          <a:r>
            <a:rPr lang="en-US" baseline="30000">
              <a:solidFill>
                <a:schemeClr val="tx1"/>
              </a:solidFill>
              <a:latin typeface="Cambria Math" panose="02040503050406030204" pitchFamily="18" charset="0"/>
              <a:ea typeface="Cambria Math" panose="02040503050406030204" pitchFamily="18" charset="0"/>
            </a:rPr>
            <a:t>2</a:t>
          </a:r>
          <a:r>
            <a:rPr lang="en-US">
              <a:solidFill>
                <a:schemeClr val="tx1"/>
              </a:solidFill>
              <a:latin typeface="Cambria Math" panose="02040503050406030204" pitchFamily="18" charset="0"/>
              <a:ea typeface="Cambria Math" panose="02040503050406030204" pitchFamily="18" charset="0"/>
            </a:rPr>
            <a:t>) shown in table I-1 to this subpart. </a:t>
          </a: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chemeClr val="tx1"/>
              </a:solidFill>
              <a:latin typeface="Cambria Math" panose="02040503050406030204" pitchFamily="18" charset="0"/>
              <a:ea typeface="Cambria Math" panose="02040503050406030204" pitchFamily="18" charset="0"/>
            </a:rPr>
            <a:t>GWP</a:t>
          </a:r>
          <a:r>
            <a:rPr lang="en-US" baseline="-25000">
              <a:solidFill>
                <a:schemeClr val="tx1"/>
              </a:solidFill>
              <a:latin typeface="Cambria Math" panose="02040503050406030204" pitchFamily="18" charset="0"/>
              <a:ea typeface="Cambria Math" panose="02040503050406030204" pitchFamily="18" charset="0"/>
            </a:rPr>
            <a:t>i</a:t>
          </a:r>
          <a:r>
            <a:rPr lang="en-US">
              <a:solidFill>
                <a:schemeClr val="tx1"/>
              </a:solidFill>
              <a:latin typeface="Cambria Math" panose="02040503050406030204" pitchFamily="18" charset="0"/>
              <a:ea typeface="Cambria Math" panose="02040503050406030204" pitchFamily="18" charset="0"/>
            </a:rPr>
            <a:t> = Gas-appropriate GWP</a:t>
          </a: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chemeClr val="tx1"/>
              </a:solidFill>
              <a:latin typeface="Cambria Math" panose="02040503050406030204" pitchFamily="18" charset="0"/>
              <a:ea typeface="Cambria Math" panose="02040503050406030204" pitchFamily="18" charset="0"/>
            </a:rPr>
            <a:t>0.001 = Conversion factor from kg to metric tons. </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atin typeface="Cambria Math" panose="02040503050406030204" pitchFamily="18" charset="0"/>
            <a:ea typeface="Cambria Math" panose="02040503050406030204" pitchFamily="18" charset="0"/>
          </a:endParaRPr>
        </a:p>
      </xdr:txBody>
    </xdr:sp>
    <xdr:clientData/>
  </xdr:twoCellAnchor>
  <xdr:twoCellAnchor>
    <xdr:from>
      <xdr:col>4</xdr:col>
      <xdr:colOff>585442</xdr:colOff>
      <xdr:row>37</xdr:row>
      <xdr:rowOff>61176</xdr:rowOff>
    </xdr:from>
    <xdr:to>
      <xdr:col>7</xdr:col>
      <xdr:colOff>793801</xdr:colOff>
      <xdr:row>38</xdr:row>
      <xdr:rowOff>186193</xdr:rowOff>
    </xdr:to>
    <xdr:sp macro="" textlink="">
      <xdr:nvSpPr>
        <xdr:cNvPr id="23" name="Rectangle 22">
          <a:extLst>
            <a:ext uri="{FF2B5EF4-FFF2-40B4-BE49-F238E27FC236}">
              <a16:creationId xmlns:a16="http://schemas.microsoft.com/office/drawing/2014/main" id="{734395C1-E8E0-4A8E-B9C3-CF0F4EB7752C}"/>
            </a:ext>
          </a:extLst>
        </xdr:cNvPr>
        <xdr:cNvSpPr/>
      </xdr:nvSpPr>
      <xdr:spPr>
        <a:xfrm>
          <a:off x="6562380" y="9806442"/>
          <a:ext cx="3119437" cy="303610"/>
        </a:xfrm>
        <a:prstGeom prst="rect">
          <a:avLst/>
        </a:prstGeom>
        <a:solidFill>
          <a:srgbClr val="D9E1D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ysClr val="windowText" lastClr="000000"/>
              </a:solidFill>
              <a:latin typeface="Cambria Math" panose="02040503050406030204" pitchFamily="18" charset="0"/>
              <a:ea typeface="Cambria Math" panose="02040503050406030204" pitchFamily="18" charset="0"/>
            </a:rPr>
            <a:t>E</a:t>
          </a:r>
          <a:r>
            <a:rPr lang="en-US" sz="1200" baseline="-25000">
              <a:solidFill>
                <a:sysClr val="windowText" lastClr="000000"/>
              </a:solidFill>
              <a:latin typeface="Cambria Math" panose="02040503050406030204" pitchFamily="18" charset="0"/>
              <a:ea typeface="Cambria Math" panose="02040503050406030204" pitchFamily="18" charset="0"/>
            </a:rPr>
            <a:t>i</a:t>
          </a:r>
          <a:r>
            <a:rPr lang="en-US" sz="1200" baseline="0">
              <a:solidFill>
                <a:sysClr val="windowText" lastClr="000000"/>
              </a:solidFill>
              <a:latin typeface="Cambria Math" panose="02040503050406030204" pitchFamily="18" charset="0"/>
              <a:ea typeface="Cambria Math" panose="02040503050406030204" pitchFamily="18" charset="0"/>
            </a:rPr>
            <a:t> = S ∗ EF</a:t>
          </a:r>
          <a:r>
            <a:rPr lang="en-US" sz="1200" baseline="-25000">
              <a:solidFill>
                <a:sysClr val="windowText" lastClr="000000"/>
              </a:solidFill>
              <a:latin typeface="Cambria Math" panose="02040503050406030204" pitchFamily="18" charset="0"/>
              <a:ea typeface="Cambria Math" panose="02040503050406030204" pitchFamily="18" charset="0"/>
            </a:rPr>
            <a:t>i</a:t>
          </a:r>
          <a:r>
            <a:rPr lang="en-US" sz="1200" baseline="0">
              <a:solidFill>
                <a:sysClr val="windowText" lastClr="000000"/>
              </a:solidFill>
              <a:latin typeface="Cambria Math" panose="02040503050406030204" pitchFamily="18" charset="0"/>
              <a:ea typeface="Cambria Math" panose="02040503050406030204" pitchFamily="18" charset="0"/>
            </a:rPr>
            <a:t> </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GWP</a:t>
          </a:r>
          <a:r>
            <a:rPr lang="en-US" sz="1200" baseline="-25000">
              <a:solidFill>
                <a:sysClr val="windowText" lastClr="000000"/>
              </a:solidFill>
              <a:effectLst/>
              <a:latin typeface="Cambria Math" panose="02040503050406030204" pitchFamily="18" charset="0"/>
              <a:ea typeface="Cambria Math" panose="02040503050406030204" pitchFamily="18" charset="0"/>
              <a:cs typeface="+mn-cs"/>
            </a:rPr>
            <a:t>i</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 0.001	(Eq. I-1A)</a:t>
          </a:r>
          <a:endParaRPr lang="en-US" sz="1200">
            <a:solidFill>
              <a:sysClr val="windowText" lastClr="000000"/>
            </a:solidFill>
            <a:latin typeface="Cambria Math" panose="02040503050406030204" pitchFamily="18" charset="0"/>
            <a:ea typeface="Cambria Math" panose="02040503050406030204" pitchFamily="18" charset="0"/>
          </a:endParaRPr>
        </a:p>
      </xdr:txBody>
    </xdr:sp>
    <xdr:clientData/>
  </xdr:twoCellAnchor>
  <xdr:twoCellAnchor>
    <xdr:from>
      <xdr:col>7</xdr:col>
      <xdr:colOff>196453</xdr:colOff>
      <xdr:row>51</xdr:row>
      <xdr:rowOff>52518</xdr:rowOff>
    </xdr:from>
    <xdr:to>
      <xdr:col>16</xdr:col>
      <xdr:colOff>529828</xdr:colOff>
      <xdr:row>52</xdr:row>
      <xdr:rowOff>153722</xdr:rowOff>
    </xdr:to>
    <xdr:sp macro="" textlink="">
      <xdr:nvSpPr>
        <xdr:cNvPr id="24" name="Rectangle 23">
          <a:extLst>
            <a:ext uri="{FF2B5EF4-FFF2-40B4-BE49-F238E27FC236}">
              <a16:creationId xmlns:a16="http://schemas.microsoft.com/office/drawing/2014/main" id="{43750A8F-7582-4CF2-B1FA-8977127F4D8F}"/>
            </a:ext>
          </a:extLst>
        </xdr:cNvPr>
        <xdr:cNvSpPr/>
      </xdr:nvSpPr>
      <xdr:spPr>
        <a:xfrm>
          <a:off x="9084469" y="12631471"/>
          <a:ext cx="6351984" cy="303610"/>
        </a:xfrm>
        <a:prstGeom prst="rect">
          <a:avLst/>
        </a:prstGeom>
        <a:solidFill>
          <a:srgbClr val="D9E1D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solidFill>
                <a:sysClr val="windowText" lastClr="000000"/>
              </a:solidFill>
              <a:latin typeface="Cambria Math" panose="02040503050406030204" pitchFamily="18" charset="0"/>
              <a:ea typeface="Cambria Math" panose="02040503050406030204" pitchFamily="18" charset="0"/>
            </a:rPr>
            <a:t>E</a:t>
          </a:r>
          <a:r>
            <a:rPr lang="en-US" sz="1400" baseline="-25000">
              <a:solidFill>
                <a:sysClr val="windowText" lastClr="000000"/>
              </a:solidFill>
              <a:latin typeface="Cambria Math" panose="02040503050406030204" pitchFamily="18" charset="0"/>
              <a:ea typeface="Cambria Math" panose="02040503050406030204" pitchFamily="18" charset="0"/>
            </a:rPr>
            <a:t>i</a:t>
          </a:r>
          <a:r>
            <a:rPr lang="en-US" sz="1400" baseline="0">
              <a:solidFill>
                <a:sysClr val="windowText" lastClr="000000"/>
              </a:solidFill>
              <a:latin typeface="Cambria Math" panose="02040503050406030204" pitchFamily="18" charset="0"/>
              <a:ea typeface="Cambria Math" panose="02040503050406030204" pitchFamily="18" charset="0"/>
            </a:rPr>
            <a:t> = C</a:t>
          </a:r>
          <a:r>
            <a:rPr lang="en-US" sz="1400" baseline="-25000">
              <a:solidFill>
                <a:sysClr val="windowText" lastClr="000000"/>
              </a:solidFill>
              <a:latin typeface="Cambria Math" panose="02040503050406030204" pitchFamily="18" charset="0"/>
              <a:ea typeface="Cambria Math" panose="02040503050406030204" pitchFamily="18" charset="0"/>
            </a:rPr>
            <a:t>i</a:t>
          </a:r>
          <a:r>
            <a:rPr lang="en-US" sz="1400" baseline="0">
              <a:solidFill>
                <a:sysClr val="windowText" lastClr="000000"/>
              </a:solidFill>
              <a:latin typeface="Cambria Math" panose="02040503050406030204" pitchFamily="18" charset="0"/>
              <a:ea typeface="Cambria Math" panose="02040503050406030204" pitchFamily="18" charset="0"/>
            </a:rPr>
            <a:t> ∗ (GWP</a:t>
          </a:r>
          <a:r>
            <a:rPr lang="en-US" sz="1400" baseline="-25000">
              <a:solidFill>
                <a:sysClr val="windowText" lastClr="000000"/>
              </a:solidFill>
              <a:latin typeface="Cambria Math" panose="02040503050406030204" pitchFamily="18" charset="0"/>
              <a:ea typeface="Cambria Math" panose="02040503050406030204" pitchFamily="18" charset="0"/>
            </a:rPr>
            <a:t>i</a:t>
          </a:r>
          <a:r>
            <a:rPr lang="en-US" sz="1400" baseline="0">
              <a:solidFill>
                <a:sysClr val="windowText" lastClr="000000"/>
              </a:solidFill>
              <a:latin typeface="Cambria Math" panose="02040503050406030204" pitchFamily="18" charset="0"/>
              <a:ea typeface="Cambria Math" panose="02040503050406030204" pitchFamily="18" charset="0"/>
            </a:rPr>
            <a:t> </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(1 - U</a:t>
          </a:r>
          <a:r>
            <a:rPr lang="en-US" sz="1200" baseline="-25000">
              <a:solidFill>
                <a:sysClr val="windowText" lastClr="000000"/>
              </a:solidFill>
              <a:effectLst/>
              <a:latin typeface="Cambria Math" panose="02040503050406030204" pitchFamily="18" charset="0"/>
              <a:ea typeface="Cambria Math" panose="02040503050406030204" pitchFamily="18" charset="0"/>
              <a:cs typeface="+mn-cs"/>
            </a:rPr>
            <a:t>i</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 GWP</a:t>
          </a:r>
          <a:r>
            <a:rPr lang="en-US" sz="1200" baseline="-25000">
              <a:solidFill>
                <a:sysClr val="windowText" lastClr="000000"/>
              </a:solidFill>
              <a:effectLst/>
              <a:latin typeface="Cambria Math" panose="02040503050406030204" pitchFamily="18" charset="0"/>
              <a:ea typeface="Cambria Math" panose="02040503050406030204" pitchFamily="18" charset="0"/>
              <a:cs typeface="+mn-cs"/>
            </a:rPr>
            <a:t>CF4</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 BCF</a:t>
          </a:r>
          <a:r>
            <a:rPr lang="en-US" sz="1200" baseline="-25000">
              <a:solidFill>
                <a:sysClr val="windowText" lastClr="000000"/>
              </a:solidFill>
              <a:effectLst/>
              <a:latin typeface="Cambria Math" panose="02040503050406030204" pitchFamily="18" charset="0"/>
              <a:ea typeface="Cambria Math" panose="02040503050406030204" pitchFamily="18" charset="0"/>
              <a:cs typeface="+mn-cs"/>
            </a:rPr>
            <a:t>4</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 GWP</a:t>
          </a:r>
          <a:r>
            <a:rPr lang="en-US" sz="1200" baseline="-25000">
              <a:solidFill>
                <a:sysClr val="windowText" lastClr="000000"/>
              </a:solidFill>
              <a:effectLst/>
              <a:latin typeface="Cambria Math" panose="02040503050406030204" pitchFamily="18" charset="0"/>
              <a:ea typeface="Cambria Math" panose="02040503050406030204" pitchFamily="18" charset="0"/>
              <a:cs typeface="+mn-cs"/>
            </a:rPr>
            <a:t>C2F6</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 BC</a:t>
          </a:r>
          <a:r>
            <a:rPr lang="en-US" sz="1200" baseline="-25000">
              <a:solidFill>
                <a:sysClr val="windowText" lastClr="000000"/>
              </a:solidFill>
              <a:effectLst/>
              <a:latin typeface="Cambria Math" panose="02040503050406030204" pitchFamily="18" charset="0"/>
              <a:ea typeface="Cambria Math" panose="02040503050406030204" pitchFamily="18" charset="0"/>
              <a:cs typeface="+mn-cs"/>
            </a:rPr>
            <a:t>2</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F</a:t>
          </a:r>
          <a:r>
            <a:rPr lang="en-US" sz="1200" baseline="-25000">
              <a:solidFill>
                <a:sysClr val="windowText" lastClr="000000"/>
              </a:solidFill>
              <a:effectLst/>
              <a:latin typeface="Cambria Math" panose="02040503050406030204" pitchFamily="18" charset="0"/>
              <a:ea typeface="Cambria Math" panose="02040503050406030204" pitchFamily="18" charset="0"/>
              <a:cs typeface="+mn-cs"/>
            </a:rPr>
            <a:t>6</a:t>
          </a:r>
          <a:r>
            <a:rPr lang="en-US" sz="1200" baseline="0">
              <a:solidFill>
                <a:sysClr val="windowText" lastClr="000000"/>
              </a:solidFill>
              <a:effectLst/>
              <a:latin typeface="Cambria Math" panose="02040503050406030204" pitchFamily="18" charset="0"/>
              <a:ea typeface="Cambria Math" panose="02040503050406030204" pitchFamily="18" charset="0"/>
              <a:cs typeface="+mn-cs"/>
            </a:rPr>
            <a:t>) ∗ 0.001      (Eq. I-1B)</a:t>
          </a:r>
          <a:endParaRPr lang="en-US" sz="1400">
            <a:solidFill>
              <a:sysClr val="windowText" lastClr="000000"/>
            </a:solidFill>
            <a:latin typeface="Cambria Math" panose="02040503050406030204" pitchFamily="18" charset="0"/>
            <a:ea typeface="Cambria Math" panose="020405030504060302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0</xdr:col>
      <xdr:colOff>1809750</xdr:colOff>
      <xdr:row>0</xdr:row>
      <xdr:rowOff>625152</xdr:rowOff>
    </xdr:to>
    <xdr:pic>
      <xdr:nvPicPr>
        <xdr:cNvPr id="2" name="Picture 1">
          <a:hlinkClick xmlns:r="http://schemas.openxmlformats.org/officeDocument/2006/relationships" r:id="rId1"/>
          <a:extLst>
            <a:ext uri="{FF2B5EF4-FFF2-40B4-BE49-F238E27FC236}">
              <a16:creationId xmlns:a16="http://schemas.microsoft.com/office/drawing/2014/main" id="{0D6378F1-1442-4CB7-8B6C-8A162F5F6E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66675"/>
          <a:ext cx="1771650" cy="5527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339090</xdr:colOff>
      <xdr:row>0</xdr:row>
      <xdr:rowOff>630867</xdr:rowOff>
    </xdr:to>
    <xdr:pic>
      <xdr:nvPicPr>
        <xdr:cNvPr id="2" name="Picture 1">
          <a:hlinkClick xmlns:r="http://schemas.openxmlformats.org/officeDocument/2006/relationships" r:id="rId1"/>
          <a:extLst>
            <a:ext uri="{FF2B5EF4-FFF2-40B4-BE49-F238E27FC236}">
              <a16:creationId xmlns:a16="http://schemas.microsoft.com/office/drawing/2014/main" id="{63FB1A92-0623-44F9-B866-503FC67012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85725"/>
          <a:ext cx="1777365" cy="552762"/>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82685A-2AD6-4EDC-AEEA-2132ACC04A10}" name="Table3" displayName="Table3" ref="A12:G43" totalsRowShown="0" headerRowDxfId="97" headerRowBorderDxfId="95" tableBorderDxfId="96" totalsRowBorderDxfId="94">
  <autoFilter ref="A12:G43" xr:uid="{F982685A-2AD6-4EDC-AEEA-2132ACC04A1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734C30B-CD08-4DBD-AF12-A05E1BC292A3}" name="Fuel Type" dataDxfId="93"/>
    <tableColumn id="2" xr3:uid="{C1AEA7AF-F3E8-41DD-BCCC-3A606F16F924}" name="Fuel Qty " dataDxfId="92"/>
    <tableColumn id="7" xr3:uid="{0ED6676C-44A2-45F2-B5F1-6298F654E422}" name="Units" dataDxfId="91">
      <calculatedColumnFormula>IFERROR(VLOOKUP(A13,'list items (hide)'!A:E,5,FALSE),"")</calculatedColumnFormula>
    </tableColumn>
    <tableColumn id="5" xr3:uid="{D9AB1911-C716-4593-BE44-1A8101E5A903}" name="Fuel Source" dataDxfId="90"/>
    <tableColumn id="3" xr3:uid="{17941521-D31B-4209-9E97-DAD8BDB2BDF5}" name="EF* (KgCO2e/MMBtu)" dataDxfId="89">
      <calculatedColumnFormula>IFERROR(IF(Table3[[#This Row],[Fuel Source]]="In State", VLOOKUP(A13,'list items (hide)'!A:C,3,FALSE), VLOOKUP(A13,'list items (hide)'!A:C,2,FALSE)),"")</calculatedColumnFormula>
    </tableColumn>
    <tableColumn id="6" xr3:uid="{9F898EE7-9E27-44AB-975E-AB8AA58421BD}" name="High Heat Value (MMBtu/fuel unit)" dataDxfId="88">
      <calculatedColumnFormula>IFERROR(VLOOKUP(A13,'list items (hide)'!A:D,4,FALSE),"")</calculatedColumnFormula>
    </tableColumn>
    <tableColumn id="4" xr3:uid="{C2766434-1447-41F5-89DD-7FF7F410A06C}" name="Emissions CO2e (MT)" dataDxfId="87">
      <calculatedColumnFormula>IFERROR(Table3[[#This Row],[Fuel Qty ]]*Table3[[#This Row],[EF* (KgCO2e/MMBtu)]]*Table3[[#This Row],[High Heat Value (MMBtu/fuel unit)]]/1000,"")</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DB63870-E758-43D3-A8DE-D994E0E2202F}" name="Table9" displayName="Table9" ref="A2:C8" totalsRowShown="0" headerRowDxfId="22" dataDxfId="21">
  <autoFilter ref="A2:C8" xr:uid="{6DB63870-E758-43D3-A8DE-D994E0E2202F}"/>
  <tableColumns count="3">
    <tableColumn id="1" xr3:uid="{6A16071A-85FA-4AF7-87F7-1465E483EDC9}" name="Semiconductors " dataDxfId="20"/>
    <tableColumn id="2" xr3:uid="{F6AF85CA-ED6A-4627-9DB6-C404D03A51D0}" name="EF" dataDxfId="19"/>
    <tableColumn id="3" xr3:uid="{55CC6D71-C5AB-4347-8D29-9FB6C6CAFD25}" name="GWP" dataDxfId="18"/>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BC2203B-20D3-4518-AAAB-D996B68C50C1}" name="Table10" displayName="Table10" ref="E2:G7" totalsRowShown="0" headerRowDxfId="17" dataDxfId="16">
  <autoFilter ref="E2:G7" xr:uid="{4BC2203B-20D3-4518-AAAB-D996B68C50C1}"/>
  <tableColumns count="3">
    <tableColumn id="1" xr3:uid="{64CB165F-A20A-4207-B93C-CC0D2835ADC9}" name="LCD" dataDxfId="15"/>
    <tableColumn id="2" xr3:uid="{6088B382-0821-4ADC-8EFA-2ADA33C23550}" name="EF" dataDxfId="14"/>
    <tableColumn id="3" xr3:uid="{EDC949D0-A677-4C41-9B5B-D40C82F45091}" name="GWP" dataDxfId="13"/>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66BDC84-C0FB-4127-B3C0-E1B914A66E9B}" name="Table11" displayName="Table11" ref="I2:K5" totalsRowShown="0" headerRowDxfId="12" dataDxfId="11">
  <autoFilter ref="I2:K5" xr:uid="{466BDC84-C0FB-4127-B3C0-E1B914A66E9B}"/>
  <tableColumns count="3">
    <tableColumn id="1" xr3:uid="{D135F77D-D22A-4863-A83D-92134FA55BC9}" name="MEMS" dataDxfId="10"/>
    <tableColumn id="2" xr3:uid="{FEE3260B-00E0-4C68-8852-07B1CB2E077F}" name="EF" dataDxfId="9"/>
    <tableColumn id="3" xr3:uid="{339DA157-94DD-480F-9A4A-20494065856A}" name="GWP" dataDxfId="8"/>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50A870C-A119-4274-86BD-1B00AF5BE503}" name="Table13" displayName="Table13" ref="A10:E18" totalsRowShown="0" headerRowDxfId="7" dataDxfId="6">
  <autoFilter ref="A10:E18" xr:uid="{350A870C-A119-4274-86BD-1B00AF5BE503}">
    <filterColumn colId="0" hiddenButton="1"/>
    <filterColumn colId="1" hiddenButton="1"/>
    <filterColumn colId="2" hiddenButton="1"/>
    <filterColumn colId="3" hiddenButton="1"/>
    <filterColumn colId="4" hiddenButton="1"/>
  </autoFilter>
  <tableColumns count="5">
    <tableColumn id="1" xr3:uid="{D2389A9A-2FFE-496D-B0FF-6DC2F75B4F01}" name="Gas" dataDxfId="5"/>
    <tableColumn id="2" xr3:uid="{F874C448-F3BD-48E8-B205-88E52AD4D633}" name="1-Ui " dataDxfId="4"/>
    <tableColumn id="3" xr3:uid="{5BAE93B1-CD97-4014-8D7D-22D29C9B68E5}" name="BCF4" dataDxfId="3"/>
    <tableColumn id="4" xr3:uid="{CFFA5C10-4B70-42EE-B29C-89AEDBF0314E}" name="BC2F6" dataDxfId="2"/>
    <tableColumn id="5" xr3:uid="{3F1F3F06-C55E-4DAD-B1B7-32A34BC6F491}" name="GWP" dataDxfId="1"/>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93D33A-81C6-4D99-82E7-585BD89CA485}" name="Table1" displayName="Table1" ref="A1:E36" totalsRowShown="0">
  <autoFilter ref="A1:E36" xr:uid="{D993D33A-81C6-4D99-82E7-585BD89CA485}"/>
  <tableColumns count="5">
    <tableColumn id="1" xr3:uid="{45614468-1EDB-4D98-BB31-9368929F2037}" name="Fuel Type" dataDxfId="0"/>
    <tableColumn id="2" xr3:uid="{BEA7490B-BEEB-41F7-8B55-4A47E2C45403}" name="Out of State EF"/>
    <tableColumn id="3" xr3:uid="{049D805D-BE40-4B85-8A20-EE9F1F401B67}" name="In State EF"/>
    <tableColumn id="4" xr3:uid="{2AEC7936-1D49-4D3D-83FC-C3B96F36BBFD}" name="HHV"/>
    <tableColumn id="5" xr3:uid="{E588848E-1A9A-4B49-9188-32AEACD1A922}" name="Unit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7272FF-60CE-4B12-B026-0660459F7A37}" name="Table2" displayName="Table2" ref="A20:C87" totalsRowShown="0" headerRowDxfId="86" headerRowBorderDxfId="84" tableBorderDxfId="85" totalsRowBorderDxfId="83">
  <autoFilter ref="A20:C87" xr:uid="{727272FF-60CE-4B12-B026-0660459F7A37}">
    <filterColumn colId="0" hiddenButton="1"/>
    <filterColumn colId="1" hiddenButton="1"/>
    <filterColumn colId="2" hiddenButton="1"/>
  </autoFilter>
  <tableColumns count="3">
    <tableColumn id="1" xr3:uid="{029CBBA9-42E0-4D77-A5F5-E309CDD36677}" name="Year" dataDxfId="82"/>
    <tableColumn id="2" xr3:uid="{857CC65F-735F-4667-8095-C8CB013C6531}" name="Quantity of Waste Disposed, wet waste/ as received (Metric Tons)" dataDxfId="81"/>
    <tableColumn id="3" xr3:uid="{6D62DEDD-30DE-44EC-94EA-2B25A47E8A2B}" name="GCH4 (MT CH4)" dataDxfId="80">
      <calculatedColumnFormula>B21*MCF*DOC*DOCF*F*(16/12)*(EXP(-k*($A$87-A21-1))-EXP(-k*($A$87-A21)))</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515A45E-EAB4-47DF-A873-6B1BD2067B48}" name="Table213" displayName="Table213" ref="A38:E105" totalsRowShown="0" headerRowDxfId="79" headerRowBorderDxfId="77" tableBorderDxfId="78" totalsRowBorderDxfId="76">
  <autoFilter ref="A38:E105" xr:uid="{727272FF-60CE-4B12-B026-0660459F7A37}">
    <filterColumn colId="0" hiddenButton="1"/>
    <filterColumn colId="1" hiddenButton="1"/>
    <filterColumn colId="2" hiddenButton="1"/>
    <filterColumn colId="3" hiddenButton="1"/>
    <filterColumn colId="4" hiddenButton="1"/>
  </autoFilter>
  <tableColumns count="5">
    <tableColumn id="1" xr3:uid="{1CA09D80-F934-4715-8317-0AC7C5BCD177}" name="Year" dataDxfId="75"/>
    <tableColumn id="2" xr3:uid="{EF99C1AE-EDB0-4658-A31D-7D7ACD8ADFAF}" name="Quantity of Waste Disposed, wet waste/ as received (Metric Tons)" dataDxfId="74"/>
    <tableColumn id="5" xr3:uid="{844FE3BF-3A72-41E2-8E51-35D99A525F6A}" name="Type of Waste Disposed" dataDxfId="73"/>
    <tableColumn id="4" xr3:uid="{FEED6961-72FD-42D9-81C9-285E0F98F414}" name="DOCx" dataDxfId="72">
      <calculatedColumnFormula>IFERROR(VLOOKUP(Table213[[#This Row],[Type of Waste Disposed]],Table14[],2,FALSE)," ")</calculatedColumnFormula>
    </tableColumn>
    <tableColumn id="3" xr3:uid="{C1DD900A-0A0C-4786-BDA8-39E97E0DAB6E}" name="GCH4 (MT CH4)" dataDxfId="71">
      <calculatedColumnFormula>IFERROR(B39*MCF*Table213[[#This Row],[DOCx]]*DOCF*F*(16/12)*(EXP(-$B$22*($A$105-A39-1))-EXP(-$B$22*($A$105-A39))), 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37C0B3-E8BC-4236-9445-0ABB446F48F6}" name="Table5" displayName="Table5" ref="A17:D23" totalsRowShown="0" headerRowDxfId="70" headerRowBorderDxfId="68" tableBorderDxfId="69" totalsRowBorderDxfId="67">
  <autoFilter ref="A17:D23" xr:uid="{E737C0B3-E8BC-4236-9445-0ABB446F48F6}">
    <filterColumn colId="0" hiddenButton="1"/>
    <filterColumn colId="1" hiddenButton="1"/>
    <filterColumn colId="2" hiddenButton="1"/>
    <filterColumn colId="3" hiddenButton="1"/>
  </autoFilter>
  <tableColumns count="4">
    <tableColumn id="1" xr3:uid="{B6099D49-CBB4-4701-B7FA-0AAEB9364D3F}" name="F-gas type" dataDxfId="66"/>
    <tableColumn id="2" xr3:uid="{53E5D931-0D10-487D-B7D2-CD178301E379}" name="EF (kg/m2)" dataDxfId="65">
      <calculatedColumnFormula>IFERROR(VLOOKUP(Table5[[#This Row],[F-gas type]], Table9[#All], 2,FALSE), "")</calculatedColumnFormula>
    </tableColumn>
    <tableColumn id="3" xr3:uid="{F6930B02-44B9-45B2-810F-280685CA2040}" name="GWP" dataDxfId="64">
      <calculatedColumnFormula>IFERROR(VLOOKUP(Table5[[#This Row],[F-gas type]], Table9[#All], 3,FALSE), "")</calculatedColumnFormula>
    </tableColumn>
    <tableColumn id="4" xr3:uid="{0CBFB749-7904-4842-B24D-D3EA961AAA9F}" name="Ei (MT CO2e)" dataDxfId="63">
      <calculatedColumnFormula>IFERROR((Table5[[#This Row],[EF (kg/m2)]]*Table5[[#This Row],[GWP]]*B15*0.001)," ")</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02916A-E946-4811-A1BC-E32E73DE804E}" name="Table6" displayName="Table6" ref="A31:D34" totalsRowShown="0" headerRowDxfId="62" headerRowBorderDxfId="60" tableBorderDxfId="61" totalsRowBorderDxfId="59">
  <autoFilter ref="A31:D34" xr:uid="{FF02916A-E946-4811-A1BC-E32E73DE804E}">
    <filterColumn colId="0" hiddenButton="1"/>
    <filterColumn colId="1" hiddenButton="1"/>
    <filterColumn colId="2" hiddenButton="1"/>
    <filterColumn colId="3" hiddenButton="1"/>
  </autoFilter>
  <tableColumns count="4">
    <tableColumn id="1" xr3:uid="{29578D12-4DAE-43AD-BED4-8FA19D595A90}" name="F-gas type" dataDxfId="58"/>
    <tableColumn id="2" xr3:uid="{AE63CCB7-B230-4E1E-8D65-F3F77D84F6C8}" name="EF (kg/m2)" dataDxfId="57">
      <calculatedColumnFormula>IFERROR(VLOOKUP(Table6[[#This Row],[F-gas type]], Table11[#All], 2,FALSE), "")</calculatedColumnFormula>
    </tableColumn>
    <tableColumn id="3" xr3:uid="{9956F7CA-2AC2-4C75-84F9-AEEE46C29B8D}" name="GWP" dataDxfId="56">
      <calculatedColumnFormula>IFERROR(VLOOKUP(Table6[[#This Row],[F-gas type]], Table11[#All], 3,FALSE), "")</calculatedColumnFormula>
    </tableColumn>
    <tableColumn id="4" xr3:uid="{100B6442-EFC4-47B5-9B3B-5FAA58D4686B}" name="Ei (MT CO2e)" dataDxfId="55">
      <calculatedColumnFormula>IFERROR((Table6[[#This Row],[EF (kg/m2)]]*Table6[[#This Row],[GWP]]*0.001*$B$29)," ")</calculatedColumnFormula>
    </tableColumn>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3859EDA-7F33-4313-82E2-E36B2E54F26C}" name="Table7" displayName="Table7" ref="A42:D47" totalsRowShown="0" headerRowDxfId="54" dataDxfId="53" headerRowBorderDxfId="51" tableBorderDxfId="52" totalsRowBorderDxfId="50">
  <autoFilter ref="A42:D47" xr:uid="{23859EDA-7F33-4313-82E2-E36B2E54F26C}">
    <filterColumn colId="0" hiddenButton="1"/>
    <filterColumn colId="1" hiddenButton="1"/>
    <filterColumn colId="2" hiddenButton="1"/>
    <filterColumn colId="3" hiddenButton="1"/>
  </autoFilter>
  <tableColumns count="4">
    <tableColumn id="1" xr3:uid="{D8CC1772-E78C-42B3-9E09-5B7C339698A4}" name="F-gas type" dataDxfId="49"/>
    <tableColumn id="2" xr3:uid="{CE8163C9-E1FB-4EC4-8267-35B58FF8D104}" name="EF (kg/m2)" dataDxfId="48">
      <calculatedColumnFormula>IFERROR(VLOOKUP(Table7[[#This Row],[F-gas type]], Table10[#All], 2,FALSE), "")</calculatedColumnFormula>
    </tableColumn>
    <tableColumn id="3" xr3:uid="{6D2988C2-3308-4E1B-9C72-097059E5AA32}" name="GWP" dataDxfId="47">
      <calculatedColumnFormula>IFERROR(VLOOKUP(Table7[[#This Row],[F-gas type]], Table10[#All], 3,FALSE), "")</calculatedColumnFormula>
    </tableColumn>
    <tableColumn id="4" xr3:uid="{DB4D62CD-D421-4535-A85C-0F47318C726E}" name="Ei (MT CO2e)" dataDxfId="46">
      <calculatedColumnFormula>IFERROR((Table7[[#This Row],[EF (kg/m2)]]*Table7[[#This Row],[GWP]]*$B$40*0.000001), " ")</calculatedColumnFormula>
    </tableColumn>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D2845F6-484C-4EB8-B14A-C2E6308BACAC}" name="Table8" displayName="Table8" ref="A52:G60" totalsRowShown="0" headerRowDxfId="45" dataDxfId="44" headerRowBorderDxfId="42" tableBorderDxfId="43" totalsRowBorderDxfId="41">
  <autoFilter ref="A52:G60" xr:uid="{9D2845F6-484C-4EB8-B14A-C2E6308BACA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D553868-C8A3-439C-94E5-87D66F86AFE9}" name="F-gas type" dataDxfId="40"/>
    <tableColumn id="2" xr3:uid="{2BE015A7-2FBF-49FF-87B5-4691CFA51BD9}" name="Consumption (kg)" dataDxfId="39"/>
    <tableColumn id="3" xr3:uid="{0DB08359-4656-41E9-BE6C-6846B5900A07}" name="Ui emission factor" dataDxfId="38">
      <calculatedColumnFormula>IFERROR((VLOOKUP(Table8[[#This Row],[F-gas type]], Table13[#All], 2, FALSE))," ")</calculatedColumnFormula>
    </tableColumn>
    <tableColumn id="4" xr3:uid="{41A23CD0-A65D-4C24-8403-3115524C3597}" name="BCF4" dataDxfId="37">
      <calculatedColumnFormula>IFERROR((VLOOKUP(Table8[[#This Row],[F-gas type]], Table13[#All], 3, FALSE))," ")</calculatedColumnFormula>
    </tableColumn>
    <tableColumn id="5" xr3:uid="{EFF13464-47BA-49B2-A7E4-8E06B86702CC}" name="BC2F6" dataDxfId="36">
      <calculatedColumnFormula>IFERROR((VLOOKUP(Table8[[#This Row],[F-gas type]], Table13[#All], 4, FALSE))," ")</calculatedColumnFormula>
    </tableColumn>
    <tableColumn id="6" xr3:uid="{01113EAF-8994-4BA2-B039-497C21AA760D}" name="GWP" dataDxfId="35">
      <calculatedColumnFormula>IFERROR((VLOOKUP(Table8[[#This Row],[F-gas type]], Table13[#All], 5, FALSE)), " ")</calculatedColumnFormula>
    </tableColumn>
    <tableColumn id="7" xr3:uid="{D07F9E5A-BBCB-4E74-91CD-52CC306A8C10}" name="Ei (MT CO2e)" dataDxfId="34">
      <calculatedColumnFormula>IFERROR((Table8[[#This Row],[Consumption (kg)]]*(Table8[[#This Row],[GWP]]*Table8[[#This Row],[Ui emission factor]]+'F-gas EFs (hide)'!$E$11*Table8[[#This Row],[BCF4]]+'F-gas EFs (hide)'!$E$12*Table8[[#This Row],[BC2F6]])*0.001), " ")</calculatedColumnFormula>
    </tableColumn>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BA9740-5288-4B35-B3FB-03AE18D2570C}" name="Table4" displayName="Table4" ref="A5:C11" totalsRowShown="0" headerRowDxfId="33" dataDxfId="32" tableBorderDxfId="31">
  <autoFilter ref="A5:C11" xr:uid="{98BA9740-5288-4B35-B3FB-03AE18D2570C}"/>
  <tableColumns count="3">
    <tableColumn id="3" xr3:uid="{021D14F8-8525-4AFC-8773-3D8F99B32F71}" name="Cover Type Abbr." dataDxfId="30"/>
    <tableColumn id="1" xr3:uid="{547BF040-9E97-4D15-BD62-E96EF0B0DB44}" name="Type of Landfill Cover" dataDxfId="29"/>
    <tableColumn id="2" xr3:uid="{94932246-4C3D-4B93-9EED-299B4BE39FEF}" name="Oxidation Factor" dataDxfId="2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515CACF-A04F-4C14-AF03-83CF16A80D18}" name="Table14" displayName="Table14" ref="B4:D15" totalsRowShown="0" headerRowDxfId="27" headerRowBorderDxfId="26">
  <autoFilter ref="B4:D15" xr:uid="{9515CACF-A04F-4C14-AF03-83CF16A80D18}">
    <filterColumn colId="0" hiddenButton="1"/>
    <filterColumn colId="1" hiddenButton="1"/>
    <filterColumn colId="2" hiddenButton="1"/>
  </autoFilter>
  <tableColumns count="3">
    <tableColumn id="1" xr3:uid="{5A0C7D0C-8842-4571-ACBB-D640F38CD879}" name="Type of Waste" dataDxfId="25"/>
    <tableColumn id="2" xr3:uid="{AA1F27DA-AEA1-4540-AF3C-EA57D661C8EB}" name="DOC (weight fraction, wet basis)" dataDxfId="24"/>
    <tableColumn id="3" xr3:uid="{4FA2C431-9995-4DF0-920A-CDF47D2CE958}" name="k [wet climate] (yr-1)" dataDxfId="2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c.ny.gov/environmental-protection/air-quality/mandatory-greenhouse-gas-reporting" TargetMode="External"/><Relationship Id="rId1" Type="http://schemas.openxmlformats.org/officeDocument/2006/relationships/hyperlink" Target="https://dec.ny.gov/environmental-protection/air-quality/mandatory-greenhouse-gas-reporti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5.bin"/><Relationship Id="rId5" Type="http://schemas.openxmlformats.org/officeDocument/2006/relationships/table" Target="../tables/table13.xml"/><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drawing" Target="../drawings/drawing7.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2471-D265-4F4C-A4E9-394F58362CFA}">
  <dimension ref="A1:Q23"/>
  <sheetViews>
    <sheetView showGridLines="0" tabSelected="1" topLeftCell="A8" zoomScale="110" zoomScaleNormal="110" workbookViewId="0">
      <selection activeCell="C10" sqref="C10"/>
    </sheetView>
  </sheetViews>
  <sheetFormatPr defaultRowHeight="14.45"/>
  <cols>
    <col min="2" max="4" width="11" customWidth="1"/>
    <col min="5" max="5" width="10.28515625" customWidth="1"/>
    <col min="6" max="6" width="37.7109375" customWidth="1"/>
    <col min="7" max="7" width="38.42578125" customWidth="1"/>
    <col min="8" max="9" width="10.140625" customWidth="1"/>
  </cols>
  <sheetData>
    <row r="1" spans="1:17" ht="54" customHeight="1">
      <c r="A1" s="354" t="s">
        <v>0</v>
      </c>
      <c r="B1" s="354"/>
      <c r="C1" s="354"/>
      <c r="D1" s="354"/>
      <c r="E1" s="354"/>
      <c r="F1" s="354"/>
      <c r="G1" s="354"/>
      <c r="H1" s="354"/>
      <c r="I1" s="354"/>
      <c r="J1" s="354"/>
      <c r="K1" s="354"/>
      <c r="L1" s="354"/>
      <c r="M1" s="354"/>
      <c r="N1" s="63"/>
      <c r="O1" s="63"/>
      <c r="P1" s="63"/>
      <c r="Q1" s="63"/>
    </row>
    <row r="2" spans="1:17" s="49" customFormat="1" ht="16.899999999999999" customHeight="1">
      <c r="A2" s="86" t="s">
        <v>1</v>
      </c>
      <c r="B2" s="48"/>
      <c r="C2" s="48"/>
      <c r="D2" s="48"/>
      <c r="E2" s="48"/>
      <c r="F2" s="48"/>
      <c r="G2" s="48"/>
      <c r="H2" s="48"/>
      <c r="I2" s="48"/>
      <c r="J2" s="48"/>
      <c r="K2" s="48"/>
    </row>
    <row r="3" spans="1:17" s="49" customFormat="1" ht="19.899999999999999" customHeight="1">
      <c r="A3" s="355" t="s">
        <v>2</v>
      </c>
      <c r="B3" s="355"/>
      <c r="C3" s="355"/>
      <c r="D3" s="355"/>
      <c r="E3" s="355"/>
      <c r="F3" s="355"/>
      <c r="G3" s="48"/>
      <c r="H3" s="48"/>
      <c r="I3" s="48"/>
      <c r="J3" s="48"/>
      <c r="K3" s="48"/>
    </row>
    <row r="4" spans="1:17" s="49" customFormat="1" ht="16.899999999999999" customHeight="1">
      <c r="A4" s="68"/>
      <c r="B4" s="48"/>
      <c r="C4" s="48"/>
      <c r="D4" s="48"/>
      <c r="E4" s="48"/>
      <c r="F4" s="48"/>
      <c r="G4" s="48"/>
      <c r="H4" s="48"/>
      <c r="I4" s="48"/>
      <c r="J4" s="48"/>
      <c r="K4" s="48"/>
    </row>
    <row r="5" spans="1:17" ht="27" customHeight="1">
      <c r="B5" s="362" t="s">
        <v>3</v>
      </c>
      <c r="C5" s="363"/>
      <c r="D5" s="363"/>
      <c r="E5" s="363"/>
      <c r="F5" s="363"/>
      <c r="G5" s="363"/>
      <c r="H5" s="363"/>
      <c r="I5" s="363"/>
      <c r="J5" s="363"/>
      <c r="K5" s="363"/>
      <c r="L5" s="364"/>
      <c r="M5" s="64"/>
      <c r="N5" s="64"/>
      <c r="O5" s="64"/>
      <c r="P5" s="64"/>
      <c r="Q5" s="5"/>
    </row>
    <row r="6" spans="1:17" ht="33" customHeight="1">
      <c r="B6" s="365" t="s">
        <v>4</v>
      </c>
      <c r="C6" s="366"/>
      <c r="D6" s="366"/>
      <c r="E6" s="366"/>
      <c r="F6" s="366"/>
      <c r="G6" s="366"/>
      <c r="H6" s="366"/>
      <c r="I6" s="366"/>
      <c r="J6" s="366"/>
      <c r="K6" s="366"/>
      <c r="L6" s="367"/>
      <c r="M6" s="33"/>
      <c r="N6" s="33"/>
      <c r="O6" s="33"/>
      <c r="P6" s="33"/>
      <c r="Q6" s="5"/>
    </row>
    <row r="7" spans="1:17" ht="61.15" customHeight="1">
      <c r="B7" s="371" t="s">
        <v>5</v>
      </c>
      <c r="C7" s="372"/>
      <c r="D7" s="372"/>
      <c r="E7" s="372"/>
      <c r="F7" s="372"/>
      <c r="G7" s="372"/>
      <c r="H7" s="372"/>
      <c r="I7" s="372"/>
      <c r="J7" s="372"/>
      <c r="K7" s="372"/>
      <c r="L7" s="373"/>
    </row>
    <row r="8" spans="1:17" ht="81.599999999999994" customHeight="1">
      <c r="B8" s="368" t="s">
        <v>6</v>
      </c>
      <c r="C8" s="369"/>
      <c r="D8" s="369"/>
      <c r="E8" s="369"/>
      <c r="F8" s="369"/>
      <c r="G8" s="369"/>
      <c r="H8" s="369"/>
      <c r="I8" s="369"/>
      <c r="J8" s="369"/>
      <c r="K8" s="369"/>
      <c r="L8" s="370"/>
      <c r="M8" s="34"/>
      <c r="N8" s="34"/>
      <c r="O8" s="34"/>
      <c r="P8" s="34"/>
      <c r="Q8" s="5"/>
    </row>
    <row r="9" spans="1:17" ht="18.75" customHeight="1" thickBot="1"/>
    <row r="10" spans="1:17" ht="44.45" customHeight="1" thickTop="1" thickBot="1">
      <c r="F10" s="261" t="s">
        <v>7</v>
      </c>
      <c r="G10" s="260" t="s">
        <v>8</v>
      </c>
    </row>
    <row r="11" spans="1:17" ht="46.9" customHeight="1" thickTop="1" thickBot="1">
      <c r="D11" t="e" vm="1">
        <v>#VALUE!</v>
      </c>
      <c r="F11" s="255" t="s">
        <v>9</v>
      </c>
      <c r="G11" s="259">
        <v>2.7</v>
      </c>
      <c r="M11" s="5"/>
      <c r="N11" s="5"/>
    </row>
    <row r="12" spans="1:17" ht="46.9" customHeight="1" thickTop="1" thickBot="1">
      <c r="E12" s="5"/>
      <c r="F12" s="257" t="s">
        <v>10</v>
      </c>
      <c r="G12" s="258">
        <v>2.13</v>
      </c>
    </row>
    <row r="13" spans="1:17" ht="46.9" customHeight="1" thickTop="1" thickBot="1">
      <c r="E13" s="5"/>
      <c r="F13" s="262" t="s">
        <v>11</v>
      </c>
      <c r="G13" s="256">
        <v>2.13</v>
      </c>
    </row>
    <row r="14" spans="1:17" ht="46.9" customHeight="1" thickTop="1" thickBot="1">
      <c r="E14" s="62"/>
      <c r="F14" s="251" t="s">
        <v>12</v>
      </c>
      <c r="G14" s="253">
        <v>2.2999999999999998</v>
      </c>
      <c r="K14" s="65"/>
    </row>
    <row r="15" spans="1:17" ht="46.9" customHeight="1" thickTop="1" thickBot="1">
      <c r="F15" s="255" t="s">
        <v>13</v>
      </c>
      <c r="G15" s="254">
        <v>2.8</v>
      </c>
    </row>
    <row r="16" spans="1:17" ht="46.9" customHeight="1" thickTop="1" thickBot="1">
      <c r="F16" s="252" t="s">
        <v>14</v>
      </c>
      <c r="G16" s="250">
        <v>2.6</v>
      </c>
    </row>
    <row r="17" spans="1:16" ht="18" customHeight="1" thickTop="1" thickBot="1"/>
    <row r="18" spans="1:16" ht="15" thickTop="1">
      <c r="A18" s="61"/>
      <c r="B18" s="356" t="s">
        <v>15</v>
      </c>
      <c r="C18" s="357"/>
      <c r="D18" s="357"/>
      <c r="E18" s="357"/>
      <c r="F18" s="357"/>
      <c r="G18" s="357"/>
      <c r="H18" s="357"/>
      <c r="I18" s="357"/>
      <c r="J18" s="357"/>
      <c r="K18" s="357"/>
      <c r="L18" s="357"/>
      <c r="M18" s="67"/>
      <c r="N18" s="67"/>
      <c r="O18" s="67"/>
      <c r="P18" s="67"/>
    </row>
    <row r="19" spans="1:16">
      <c r="A19" s="61"/>
      <c r="B19" s="358" t="s">
        <v>16</v>
      </c>
      <c r="C19" s="359"/>
      <c r="D19" s="359"/>
      <c r="E19" s="359"/>
      <c r="F19" s="359"/>
      <c r="G19" s="359"/>
      <c r="H19" s="359"/>
      <c r="I19" s="359"/>
      <c r="J19" s="359"/>
      <c r="K19" s="359"/>
      <c r="L19" s="359"/>
      <c r="M19" s="66"/>
      <c r="N19" s="66"/>
      <c r="O19" s="66"/>
      <c r="P19" s="66"/>
    </row>
    <row r="20" spans="1:16" ht="15" thickBot="1">
      <c r="A20" s="61"/>
      <c r="B20" s="360" t="s">
        <v>17</v>
      </c>
      <c r="C20" s="361"/>
      <c r="D20" s="361"/>
      <c r="E20" s="361"/>
      <c r="F20" s="361"/>
      <c r="G20" s="361"/>
      <c r="H20" s="361"/>
      <c r="I20" s="361"/>
      <c r="J20" s="361"/>
      <c r="K20" s="361"/>
      <c r="L20" s="361"/>
      <c r="M20" s="66"/>
      <c r="N20" s="66"/>
      <c r="O20" s="66"/>
      <c r="P20" s="66"/>
    </row>
    <row r="21" spans="1:16" ht="15" thickTop="1"/>
    <row r="23" spans="1:16">
      <c r="G23" s="5"/>
    </row>
  </sheetData>
  <sheetProtection algorithmName="SHA-512" hashValue="VH8pryyLqmhg4qy/gsrmqt6aa/X24rZUPNGwqqJj9OC1ISvZ29Rx5vv0rC9SChHAELNzaBHbWDGIG4l9aWF5IQ==" saltValue="zGu7nbCsJXwbCf5nPLSv5Q==" spinCount="100000" sheet="1" objects="1" scenarios="1"/>
  <mergeCells count="9">
    <mergeCell ref="A1:M1"/>
    <mergeCell ref="A3:F3"/>
    <mergeCell ref="B18:L18"/>
    <mergeCell ref="B19:L19"/>
    <mergeCell ref="B20:L20"/>
    <mergeCell ref="B5:L5"/>
    <mergeCell ref="B6:L6"/>
    <mergeCell ref="B8:L8"/>
    <mergeCell ref="B7:L7"/>
  </mergeCells>
  <hyperlinks>
    <hyperlink ref="F15" location="'Glass Production'!A1" display="Glass Production " xr:uid="{3CD78F5E-39EB-4E00-9E77-4E398CA903A8}"/>
    <hyperlink ref="F16" location="'Electronics Manufacturing'!A1" display="Electronics Manufacturing" xr:uid="{6E6610C4-84A2-4376-ABB6-6F00710773D4}"/>
    <hyperlink ref="F14" location="'Cement Production'!A1" display="Cement Production" xr:uid="{60CD2BB3-2790-4267-940C-BC63EB959B30}"/>
    <hyperlink ref="F12" location="'MSW Landfills'!A1" display="MSW Landfills" xr:uid="{13F8F462-A67E-4941-B964-7FB8F468B282}"/>
    <hyperlink ref="F11" location="'Fuel Combustion Emissions'!A1" display="Fuel Combustion emissions" xr:uid="{F965218A-14DF-42ED-8C0A-72AB2B382CEC}"/>
    <hyperlink ref="B19" r:id="rId1" display="https://dec.ny.gov/environmental-protection/air-quality/mandatory-greenhouse-gas-reporting" xr:uid="{AEB59ACB-B1C3-4060-A24B-9D030593D8BC}"/>
    <hyperlink ref="A3" r:id="rId2" display="This GHG Emisssions Estimator Tool and other information can be obtained here" xr:uid="{B5594417-493B-41AF-A52D-5DEABD9A4B95}"/>
    <hyperlink ref="B20:L20" location="'Change Log'!A1" display="A log of the changes made to this sheet can be found here" xr:uid="{A190FB9E-4060-498E-A346-BE7871ED1ACE}"/>
    <hyperlink ref="F13" location="'Industrial landfills'!A1" display="Industrial Landfills" xr:uid="{7C3AD4E7-FABC-4C73-87D2-F99EDE7C9315}"/>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D90D-B81B-4844-B744-E77D6C02FCEC}">
  <dimension ref="A1:E18"/>
  <sheetViews>
    <sheetView showGridLines="0" workbookViewId="0">
      <selection activeCell="B17" sqref="B17"/>
    </sheetView>
  </sheetViews>
  <sheetFormatPr defaultRowHeight="14.45"/>
  <cols>
    <col min="2" max="2" width="47.140625" customWidth="1"/>
    <col min="3" max="3" width="29.28515625" customWidth="1"/>
    <col min="4" max="4" width="19.28515625" customWidth="1"/>
    <col min="5" max="5" width="24.28515625" customWidth="1"/>
  </cols>
  <sheetData>
    <row r="1" spans="1:5" s="11" customFormat="1" ht="57" customHeight="1">
      <c r="A1" s="483" t="s">
        <v>232</v>
      </c>
      <c r="B1" s="483"/>
      <c r="C1" s="483"/>
      <c r="D1" s="483"/>
      <c r="E1" s="483"/>
    </row>
    <row r="2" spans="1:5">
      <c r="A2" s="355" t="s">
        <v>233</v>
      </c>
      <c r="B2" s="355"/>
      <c r="D2" s="484" t="s">
        <v>234</v>
      </c>
      <c r="E2" s="484"/>
    </row>
    <row r="3" spans="1:5">
      <c r="A3" s="355" t="s">
        <v>18</v>
      </c>
      <c r="B3" s="355"/>
    </row>
    <row r="4" spans="1:5" ht="28.15" customHeight="1">
      <c r="B4" s="264" t="s">
        <v>235</v>
      </c>
      <c r="C4" s="263" t="s">
        <v>236</v>
      </c>
      <c r="D4" s="273" t="s">
        <v>237</v>
      </c>
    </row>
    <row r="5" spans="1:5">
      <c r="B5" s="265" t="s">
        <v>238</v>
      </c>
      <c r="C5" s="271">
        <v>0.06</v>
      </c>
      <c r="D5" s="271">
        <v>0.04</v>
      </c>
    </row>
    <row r="6" spans="1:5">
      <c r="B6" s="269" t="s">
        <v>239</v>
      </c>
      <c r="C6" s="270">
        <v>0.12</v>
      </c>
      <c r="D6" s="270">
        <v>0.06</v>
      </c>
    </row>
    <row r="7" spans="1:5">
      <c r="B7" s="266" t="s">
        <v>240</v>
      </c>
      <c r="C7" s="271">
        <v>2.5000000000000001E-2</v>
      </c>
      <c r="D7" s="268">
        <v>0.04</v>
      </c>
    </row>
    <row r="8" spans="1:5">
      <c r="B8" s="269" t="s">
        <v>241</v>
      </c>
      <c r="C8" s="270">
        <v>0.2</v>
      </c>
      <c r="D8" s="270">
        <v>0.04</v>
      </c>
    </row>
    <row r="9" spans="1:5">
      <c r="B9" s="271" t="s">
        <v>242</v>
      </c>
      <c r="C9" s="268">
        <v>0.15</v>
      </c>
      <c r="D9" s="268">
        <v>0.04</v>
      </c>
    </row>
    <row r="10" spans="1:5">
      <c r="B10" s="270" t="s">
        <v>243</v>
      </c>
      <c r="C10" s="272">
        <v>0.43</v>
      </c>
      <c r="D10" s="270">
        <v>0.04</v>
      </c>
    </row>
    <row r="11" spans="1:5">
      <c r="B11" s="268" t="s">
        <v>244</v>
      </c>
      <c r="C11" s="271">
        <v>0.08</v>
      </c>
      <c r="D11" s="268">
        <v>0.04</v>
      </c>
    </row>
    <row r="12" spans="1:5">
      <c r="B12" s="272" t="s">
        <v>245</v>
      </c>
      <c r="C12" s="272">
        <v>0.09</v>
      </c>
      <c r="D12" s="270">
        <v>0.06</v>
      </c>
    </row>
    <row r="13" spans="1:5">
      <c r="B13" s="268" t="s">
        <v>246</v>
      </c>
      <c r="C13" s="271">
        <v>0.22</v>
      </c>
      <c r="D13" s="271">
        <v>0.18</v>
      </c>
    </row>
    <row r="14" spans="1:5">
      <c r="B14" s="270" t="s">
        <v>247</v>
      </c>
      <c r="C14" s="272">
        <v>0</v>
      </c>
      <c r="D14" s="272">
        <v>0</v>
      </c>
    </row>
    <row r="15" spans="1:5">
      <c r="B15" s="267" t="s">
        <v>248</v>
      </c>
      <c r="C15" s="268">
        <v>0.2</v>
      </c>
      <c r="D15" s="268">
        <v>0.06</v>
      </c>
    </row>
    <row r="17" spans="1:1">
      <c r="A17" t="s">
        <v>249</v>
      </c>
    </row>
    <row r="18" spans="1:1">
      <c r="A18" t="s">
        <v>250</v>
      </c>
    </row>
  </sheetData>
  <sheetProtection algorithmName="SHA-512" hashValue="WBudHS6xv1eOsr+nEixk2TYQfQK6tl7U/PgQsWAhZvxJOp9yjoBae86jgEKv1EYJVShdCb+E6EY98siyREol9w==" saltValue="5+huK9emML8SYpxEZsRtqw==" spinCount="100000" sheet="1" objects="1" scenarios="1"/>
  <mergeCells count="4">
    <mergeCell ref="A1:E1"/>
    <mergeCell ref="A2:B2"/>
    <mergeCell ref="A3:B3"/>
    <mergeCell ref="D2:E2"/>
  </mergeCells>
  <hyperlinks>
    <hyperlink ref="A2:B2" location="'Industrial landfills'!A1" display="retrun to Industrial landfills" xr:uid="{06BF39F3-9306-43F0-A5D6-E1BA41A1F3BB}"/>
    <hyperlink ref="A3:B3" location="'Table of Contents'!A1" display="return to table of contents" xr:uid="{6FE289B5-D9AB-4CA3-91E3-91EDE3977E23}"/>
  </hyperlink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F5B5-5F9C-441D-AEB9-987967D270AD}">
  <dimension ref="A1:B6"/>
  <sheetViews>
    <sheetView showGridLines="0" zoomScale="110" zoomScaleNormal="110" workbookViewId="0">
      <selection activeCell="A9" sqref="A9"/>
    </sheetView>
  </sheetViews>
  <sheetFormatPr defaultRowHeight="14.45"/>
  <cols>
    <col min="1" max="1" width="14" customWidth="1"/>
    <col min="2" max="2" width="82" customWidth="1"/>
  </cols>
  <sheetData>
    <row r="1" spans="1:2" ht="55.15" customHeight="1">
      <c r="A1" s="485" t="s">
        <v>251</v>
      </c>
      <c r="B1" s="486"/>
    </row>
    <row r="2" spans="1:2" ht="15" thickBot="1">
      <c r="A2" s="487" t="s">
        <v>18</v>
      </c>
      <c r="B2" s="488"/>
    </row>
    <row r="3" spans="1:2" ht="24" customHeight="1">
      <c r="A3" s="211" t="s">
        <v>252</v>
      </c>
      <c r="B3" s="212" t="s">
        <v>253</v>
      </c>
    </row>
    <row r="4" spans="1:2" ht="64.5" customHeight="1" thickBot="1">
      <c r="A4" s="348">
        <v>45986</v>
      </c>
      <c r="B4" s="347" t="s">
        <v>254</v>
      </c>
    </row>
    <row r="5" spans="1:2" ht="81" customHeight="1" thickBot="1">
      <c r="A5" s="214">
        <v>45777</v>
      </c>
      <c r="B5" s="213" t="s">
        <v>255</v>
      </c>
    </row>
    <row r="6" spans="1:2">
      <c r="A6" s="215">
        <v>45751</v>
      </c>
      <c r="B6" s="192" t="s">
        <v>256</v>
      </c>
    </row>
  </sheetData>
  <sheetProtection algorithmName="SHA-512" hashValue="lz2L1F/vTTLatf2KvAdYmG+fCvdJuqiXrBJNbBsh65WEtp4HOOuD45VhmjZkbLl/nn/goVaLDuuet7N2jpgcZg==" saltValue="awaKQPwrnFEPatPnWl+fQA==" spinCount="100000" sheet="1" objects="1" scenarios="1"/>
  <mergeCells count="2">
    <mergeCell ref="A1:B1"/>
    <mergeCell ref="A2:B2"/>
  </mergeCells>
  <hyperlinks>
    <hyperlink ref="A2:B2" location="'Table of Contents'!A1" display="return to table of contents" xr:uid="{36868849-28FB-41AE-BC23-A8AEFEE9C272}"/>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53745-E64C-4F11-A221-0EF01312BC4B}">
  <dimension ref="A2:K18"/>
  <sheetViews>
    <sheetView zoomScale="110" zoomScaleNormal="110" workbookViewId="0">
      <selection activeCell="H15" sqref="H15"/>
    </sheetView>
  </sheetViews>
  <sheetFormatPr defaultColWidth="8.85546875" defaultRowHeight="14.45"/>
  <cols>
    <col min="1" max="1" width="21.5703125" style="217" customWidth="1"/>
    <col min="2" max="2" width="14.28515625" style="217" customWidth="1"/>
    <col min="3" max="16384" width="8.85546875" style="217"/>
  </cols>
  <sheetData>
    <row r="2" spans="1:11">
      <c r="A2" s="223" t="s">
        <v>257</v>
      </c>
      <c r="B2" s="223" t="s">
        <v>258</v>
      </c>
      <c r="C2" s="223" t="s">
        <v>143</v>
      </c>
      <c r="E2" s="223" t="s">
        <v>259</v>
      </c>
      <c r="F2" s="223" t="s">
        <v>258</v>
      </c>
      <c r="G2" s="223" t="s">
        <v>143</v>
      </c>
      <c r="I2" s="223" t="s">
        <v>260</v>
      </c>
      <c r="J2" s="223" t="s">
        <v>258</v>
      </c>
      <c r="K2" s="223" t="s">
        <v>143</v>
      </c>
    </row>
    <row r="3" spans="1:11">
      <c r="A3" s="216" t="s">
        <v>261</v>
      </c>
      <c r="B3" s="216">
        <v>0.9</v>
      </c>
      <c r="C3" s="218">
        <v>4880</v>
      </c>
      <c r="E3" s="216" t="s">
        <v>261</v>
      </c>
      <c r="F3" s="216">
        <v>0.65</v>
      </c>
      <c r="G3" s="218">
        <v>4880</v>
      </c>
      <c r="I3" s="216" t="s">
        <v>261</v>
      </c>
      <c r="J3" s="216">
        <v>1.4999999999999999E-2</v>
      </c>
      <c r="K3" s="218">
        <v>4880</v>
      </c>
    </row>
    <row r="4" spans="1:11">
      <c r="A4" s="217" t="s">
        <v>262</v>
      </c>
      <c r="B4" s="217">
        <v>1</v>
      </c>
      <c r="C4" s="219">
        <v>8210</v>
      </c>
      <c r="E4" s="217" t="s">
        <v>263</v>
      </c>
      <c r="F4" s="217">
        <v>2.3999999999999998E-3</v>
      </c>
      <c r="G4" s="220">
        <v>10800</v>
      </c>
      <c r="I4" s="217" t="s">
        <v>264</v>
      </c>
      <c r="J4" s="217">
        <v>7.5999999999999998E-2</v>
      </c>
      <c r="K4" s="217">
        <v>7110</v>
      </c>
    </row>
    <row r="5" spans="1:11" ht="15" thickBot="1">
      <c r="A5" s="216" t="s">
        <v>263</v>
      </c>
      <c r="B5" s="216">
        <v>0.04</v>
      </c>
      <c r="C5" s="221">
        <v>10800</v>
      </c>
      <c r="E5" s="216" t="s">
        <v>265</v>
      </c>
      <c r="F5" s="216">
        <v>1.29</v>
      </c>
      <c r="G5" s="221">
        <v>12800</v>
      </c>
      <c r="I5" s="216" t="s">
        <v>266</v>
      </c>
      <c r="J5" s="216">
        <v>1.86</v>
      </c>
      <c r="K5" s="221">
        <v>17500</v>
      </c>
    </row>
    <row r="6" spans="1:11" ht="15" thickBot="1">
      <c r="A6" s="217" t="s">
        <v>267</v>
      </c>
      <c r="B6" s="217">
        <v>0.05</v>
      </c>
      <c r="C6" s="222">
        <v>6640</v>
      </c>
      <c r="E6" s="217" t="s">
        <v>266</v>
      </c>
      <c r="F6" s="217">
        <v>4.1399999999999997</v>
      </c>
      <c r="G6" s="220">
        <v>17500</v>
      </c>
    </row>
    <row r="7" spans="1:11">
      <c r="A7" s="216" t="s">
        <v>265</v>
      </c>
      <c r="B7" s="216">
        <v>0.04</v>
      </c>
      <c r="C7" s="221">
        <v>12800</v>
      </c>
      <c r="E7" s="216" t="s">
        <v>268</v>
      </c>
      <c r="F7" s="216">
        <v>17.059999999999999</v>
      </c>
      <c r="G7" s="216">
        <v>264</v>
      </c>
    </row>
    <row r="8" spans="1:11">
      <c r="A8" s="217" t="s">
        <v>266</v>
      </c>
      <c r="B8" s="217">
        <v>0.2</v>
      </c>
      <c r="C8" s="220">
        <v>17500</v>
      </c>
    </row>
    <row r="10" spans="1:11">
      <c r="A10" s="223" t="s">
        <v>269</v>
      </c>
      <c r="B10" s="223" t="s">
        <v>270</v>
      </c>
      <c r="C10" s="223" t="s">
        <v>151</v>
      </c>
      <c r="D10" s="223" t="s">
        <v>152</v>
      </c>
      <c r="E10" s="223" t="s">
        <v>143</v>
      </c>
    </row>
    <row r="11" spans="1:11">
      <c r="A11" s="216" t="s">
        <v>261</v>
      </c>
      <c r="B11" s="216">
        <v>0.8</v>
      </c>
      <c r="C11" s="216">
        <v>0.15</v>
      </c>
      <c r="D11" s="216">
        <v>0.05</v>
      </c>
      <c r="E11" s="216">
        <v>4880</v>
      </c>
    </row>
    <row r="12" spans="1:11">
      <c r="A12" s="217" t="s">
        <v>262</v>
      </c>
      <c r="B12" s="217">
        <v>0.8</v>
      </c>
      <c r="C12" s="217">
        <v>0.15</v>
      </c>
      <c r="D12" s="217">
        <v>0.05</v>
      </c>
      <c r="E12" s="217">
        <v>8210</v>
      </c>
    </row>
    <row r="13" spans="1:11">
      <c r="A13" s="216" t="s">
        <v>264</v>
      </c>
      <c r="B13" s="216">
        <v>0.8</v>
      </c>
      <c r="C13" s="216">
        <v>0.15</v>
      </c>
      <c r="D13" s="216">
        <v>0.05</v>
      </c>
      <c r="E13" s="216">
        <v>7110</v>
      </c>
    </row>
    <row r="14" spans="1:11">
      <c r="A14" s="217" t="s">
        <v>263</v>
      </c>
      <c r="B14" s="217">
        <v>0.8</v>
      </c>
      <c r="C14" s="217">
        <v>0.15</v>
      </c>
      <c r="D14" s="217">
        <v>0.05</v>
      </c>
      <c r="E14" s="217">
        <v>10800</v>
      </c>
    </row>
    <row r="15" spans="1:11">
      <c r="A15" s="216" t="s">
        <v>267</v>
      </c>
      <c r="B15" s="216">
        <v>0.8</v>
      </c>
      <c r="C15" s="216">
        <v>0.15</v>
      </c>
      <c r="D15" s="216">
        <v>0.05</v>
      </c>
      <c r="E15" s="216">
        <v>6640</v>
      </c>
    </row>
    <row r="16" spans="1:11">
      <c r="A16" s="217" t="s">
        <v>265</v>
      </c>
      <c r="B16" s="217">
        <v>0.8</v>
      </c>
      <c r="C16" s="217">
        <v>0.15</v>
      </c>
      <c r="D16" s="217">
        <v>0.05</v>
      </c>
      <c r="E16" s="217">
        <v>12800</v>
      </c>
    </row>
    <row r="17" spans="1:5">
      <c r="A17" s="216" t="s">
        <v>266</v>
      </c>
      <c r="B17" s="216">
        <v>0.8</v>
      </c>
      <c r="C17" s="216">
        <v>0.15</v>
      </c>
      <c r="D17" s="216">
        <v>0.05</v>
      </c>
      <c r="E17" s="216">
        <v>17500</v>
      </c>
    </row>
    <row r="18" spans="1:5">
      <c r="A18" s="217" t="s">
        <v>268</v>
      </c>
      <c r="B18" s="217">
        <v>1</v>
      </c>
      <c r="C18" s="217">
        <v>0</v>
      </c>
      <c r="D18" s="217">
        <v>0</v>
      </c>
      <c r="E18" s="217">
        <v>264</v>
      </c>
    </row>
  </sheetData>
  <pageMargins left="0.7" right="0.7" top="0.75" bottom="0.75" header="0.3" footer="0.3"/>
  <pageSetup orientation="portrait" r:id="rId1"/>
  <tableParts count="4">
    <tablePart r:id="rId2"/>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B987A-6A22-4811-88FC-D32E272661D8}">
  <dimension ref="A1:I36"/>
  <sheetViews>
    <sheetView workbookViewId="0">
      <pane ySplit="1" topLeftCell="A2" activePane="bottomLeft" state="frozen"/>
      <selection pane="bottomLeft" activeCell="G21" sqref="G21"/>
    </sheetView>
  </sheetViews>
  <sheetFormatPr defaultRowHeight="14.45"/>
  <cols>
    <col min="1" max="1" width="44.85546875" customWidth="1"/>
    <col min="2" max="2" width="17.7109375" customWidth="1"/>
    <col min="3" max="3" width="23.7109375" customWidth="1"/>
    <col min="6" max="6" width="16.7109375" customWidth="1"/>
    <col min="7" max="7" width="11" bestFit="1" customWidth="1"/>
    <col min="9" max="9" width="13.28515625" customWidth="1"/>
  </cols>
  <sheetData>
    <row r="1" spans="1:9">
      <c r="A1" t="s">
        <v>26</v>
      </c>
      <c r="B1" t="s">
        <v>271</v>
      </c>
      <c r="C1" t="s">
        <v>272</v>
      </c>
      <c r="D1" t="s">
        <v>273</v>
      </c>
      <c r="E1" t="s">
        <v>28</v>
      </c>
    </row>
    <row r="2" spans="1:9">
      <c r="A2" t="s">
        <v>274</v>
      </c>
      <c r="B2">
        <v>146.959</v>
      </c>
      <c r="C2">
        <v>105.02</v>
      </c>
      <c r="D2">
        <v>25.09</v>
      </c>
      <c r="E2" t="s">
        <v>275</v>
      </c>
    </row>
    <row r="3" spans="1:9">
      <c r="A3" t="s">
        <v>276</v>
      </c>
      <c r="B3">
        <v>136.54900000000001</v>
      </c>
      <c r="C3">
        <v>94.61</v>
      </c>
      <c r="D3">
        <v>24.93</v>
      </c>
      <c r="E3" t="s">
        <v>275</v>
      </c>
    </row>
    <row r="4" spans="1:9">
      <c r="A4" t="s">
        <v>277</v>
      </c>
      <c r="B4">
        <v>140.43899999999999</v>
      </c>
      <c r="C4">
        <v>98.5</v>
      </c>
      <c r="D4">
        <v>17.25</v>
      </c>
      <c r="E4" t="s">
        <v>275</v>
      </c>
      <c r="I4" t="s">
        <v>278</v>
      </c>
    </row>
    <row r="5" spans="1:9">
      <c r="A5" t="s">
        <v>279</v>
      </c>
      <c r="B5">
        <v>140.989</v>
      </c>
      <c r="C5">
        <v>99.05</v>
      </c>
      <c r="D5">
        <v>14.21</v>
      </c>
      <c r="E5" t="s">
        <v>275</v>
      </c>
      <c r="I5" t="s">
        <v>280</v>
      </c>
    </row>
    <row r="6" spans="1:9">
      <c r="A6" t="s">
        <v>170</v>
      </c>
      <c r="B6">
        <v>156.93899999999999</v>
      </c>
      <c r="C6">
        <v>115</v>
      </c>
      <c r="D6">
        <v>24.8</v>
      </c>
      <c r="E6" t="s">
        <v>275</v>
      </c>
      <c r="I6" t="s">
        <v>33</v>
      </c>
    </row>
    <row r="7" spans="1:9">
      <c r="A7" t="s">
        <v>173</v>
      </c>
      <c r="B7">
        <v>97.197399999999988</v>
      </c>
      <c r="C7">
        <v>73.657399999999996</v>
      </c>
      <c r="D7">
        <v>0.13900000000000001</v>
      </c>
      <c r="E7" t="s">
        <v>281</v>
      </c>
    </row>
    <row r="8" spans="1:9">
      <c r="A8" t="s">
        <v>174</v>
      </c>
      <c r="B8">
        <v>97.907399999999996</v>
      </c>
      <c r="C8">
        <v>74.367399999999989</v>
      </c>
      <c r="D8">
        <v>0.13800000000000001</v>
      </c>
      <c r="E8" t="s">
        <v>281</v>
      </c>
    </row>
    <row r="9" spans="1:9">
      <c r="A9" t="s">
        <v>175</v>
      </c>
      <c r="B9">
        <v>98.987400000000008</v>
      </c>
      <c r="C9">
        <v>75.447400000000002</v>
      </c>
      <c r="D9">
        <v>0.14599999999999999</v>
      </c>
      <c r="E9" t="s">
        <v>281</v>
      </c>
    </row>
    <row r="10" spans="1:9">
      <c r="A10" t="s">
        <v>176</v>
      </c>
      <c r="B10">
        <v>93.800399999999996</v>
      </c>
      <c r="C10">
        <v>75.607399999999998</v>
      </c>
      <c r="D10">
        <v>0.13500000000000001</v>
      </c>
      <c r="E10" t="s">
        <v>281</v>
      </c>
    </row>
    <row r="11" spans="1:9">
      <c r="A11" t="s">
        <v>177</v>
      </c>
      <c r="B11">
        <v>89.861400000000003</v>
      </c>
      <c r="C11">
        <v>63.3874</v>
      </c>
      <c r="D11">
        <v>9.1999999999999998E-2</v>
      </c>
      <c r="E11" t="s">
        <v>281</v>
      </c>
    </row>
    <row r="12" spans="1:9">
      <c r="A12" t="s">
        <v>178</v>
      </c>
      <c r="B12">
        <v>92.831400000000002</v>
      </c>
      <c r="C12">
        <v>67.77</v>
      </c>
      <c r="D12">
        <v>9.0999999999999998E-2</v>
      </c>
      <c r="E12" t="s">
        <v>281</v>
      </c>
    </row>
    <row r="13" spans="1:9">
      <c r="A13" t="s">
        <v>179</v>
      </c>
      <c r="B13">
        <v>103.92440000000001</v>
      </c>
      <c r="C13">
        <v>59.6</v>
      </c>
      <c r="D13">
        <v>6.8000000000000005E-2</v>
      </c>
      <c r="E13" t="s">
        <v>281</v>
      </c>
    </row>
    <row r="14" spans="1:9">
      <c r="A14" t="s">
        <v>180</v>
      </c>
      <c r="B14">
        <v>108.71440000000001</v>
      </c>
      <c r="C14">
        <v>65.959999999999994</v>
      </c>
      <c r="D14">
        <v>5.8000000000000003E-2</v>
      </c>
      <c r="E14" t="s">
        <v>281</v>
      </c>
    </row>
    <row r="15" spans="1:9">
      <c r="A15" t="s">
        <v>181</v>
      </c>
      <c r="B15">
        <v>106.1944</v>
      </c>
      <c r="C15">
        <v>64.94</v>
      </c>
      <c r="D15">
        <v>9.9000000000000005E-2</v>
      </c>
      <c r="E15" t="s">
        <v>281</v>
      </c>
    </row>
    <row r="16" spans="1:9">
      <c r="A16" t="s">
        <v>182</v>
      </c>
      <c r="B16">
        <v>109.02439999999999</v>
      </c>
      <c r="C16">
        <v>68.86</v>
      </c>
      <c r="D16">
        <v>0.10299999999999999</v>
      </c>
      <c r="E16" t="s">
        <v>281</v>
      </c>
    </row>
    <row r="17" spans="1:5">
      <c r="A17" t="s">
        <v>183</v>
      </c>
      <c r="B17">
        <v>106.43440000000001</v>
      </c>
      <c r="C17">
        <v>64.77</v>
      </c>
      <c r="D17">
        <v>0.10299999999999999</v>
      </c>
      <c r="E17" t="s">
        <v>281</v>
      </c>
    </row>
    <row r="18" spans="1:5">
      <c r="A18" t="s">
        <v>184</v>
      </c>
      <c r="B18">
        <v>109.01439999999999</v>
      </c>
      <c r="C18">
        <v>68.72</v>
      </c>
      <c r="D18">
        <v>0.105</v>
      </c>
      <c r="E18" t="s">
        <v>281</v>
      </c>
    </row>
    <row r="19" spans="1:5">
      <c r="A19" t="s">
        <v>185</v>
      </c>
      <c r="B19">
        <v>108.1174</v>
      </c>
      <c r="C19">
        <v>66.83</v>
      </c>
      <c r="D19">
        <v>0.11</v>
      </c>
      <c r="E19" t="s">
        <v>281</v>
      </c>
    </row>
    <row r="20" spans="1:5">
      <c r="A20" t="s">
        <v>186</v>
      </c>
      <c r="B20">
        <v>99.493399999999994</v>
      </c>
      <c r="C20">
        <v>70.22</v>
      </c>
      <c r="D20">
        <v>0.125</v>
      </c>
      <c r="E20" t="s">
        <v>281</v>
      </c>
    </row>
    <row r="21" spans="1:5">
      <c r="A21" t="s">
        <v>187</v>
      </c>
      <c r="B21">
        <v>87.850399999999993</v>
      </c>
      <c r="C21">
        <v>69.25</v>
      </c>
      <c r="D21">
        <v>0.12</v>
      </c>
      <c r="E21" t="s">
        <v>281</v>
      </c>
    </row>
    <row r="22" spans="1:5">
      <c r="A22" t="s">
        <v>188</v>
      </c>
      <c r="B22">
        <v>90.820399999999992</v>
      </c>
      <c r="C22">
        <v>72.22</v>
      </c>
      <c r="D22">
        <v>0.13500000000000001</v>
      </c>
      <c r="E22" t="s">
        <v>281</v>
      </c>
    </row>
    <row r="23" spans="1:5">
      <c r="A23" t="s">
        <v>189</v>
      </c>
      <c r="B23">
        <v>94.045500000000004</v>
      </c>
      <c r="C23">
        <v>53.168500000000002</v>
      </c>
      <c r="D23">
        <f>1.026*10^-3</f>
        <v>1.026E-3</v>
      </c>
      <c r="E23" t="s">
        <v>282</v>
      </c>
    </row>
    <row r="24" spans="1:5">
      <c r="A24" t="s">
        <v>194</v>
      </c>
      <c r="C24">
        <v>94.445000000000007</v>
      </c>
      <c r="D24">
        <v>9950</v>
      </c>
      <c r="E24" t="s">
        <v>275</v>
      </c>
    </row>
    <row r="25" spans="1:5">
      <c r="A25" t="s">
        <v>195</v>
      </c>
      <c r="C25">
        <v>89.715000000000003</v>
      </c>
      <c r="D25">
        <v>28</v>
      </c>
      <c r="E25" t="s">
        <v>275</v>
      </c>
    </row>
    <row r="26" spans="1:5">
      <c r="A26" t="s">
        <v>196</v>
      </c>
      <c r="C26">
        <v>78.745000000000005</v>
      </c>
      <c r="D26">
        <v>38</v>
      </c>
      <c r="E26" t="s">
        <v>275</v>
      </c>
    </row>
    <row r="27" spans="1:5">
      <c r="A27" t="s">
        <v>283</v>
      </c>
      <c r="C27">
        <v>95.367439999999988</v>
      </c>
      <c r="D27">
        <v>17.48</v>
      </c>
      <c r="E27" t="s">
        <v>275</v>
      </c>
    </row>
    <row r="28" spans="1:5">
      <c r="A28" t="s">
        <v>199</v>
      </c>
      <c r="C28">
        <v>121.91500000000001</v>
      </c>
      <c r="D28">
        <v>8.25</v>
      </c>
      <c r="E28" t="s">
        <v>275</v>
      </c>
    </row>
    <row r="29" spans="1:5">
      <c r="A29" t="s">
        <v>200</v>
      </c>
      <c r="C29">
        <v>115.58500000000001</v>
      </c>
      <c r="D29">
        <v>8</v>
      </c>
      <c r="E29" t="s">
        <v>275</v>
      </c>
    </row>
    <row r="30" spans="1:5">
      <c r="A30" t="s">
        <v>201</v>
      </c>
      <c r="C30">
        <v>109.25500000000001</v>
      </c>
      <c r="D30">
        <v>10.39</v>
      </c>
      <c r="E30" t="s">
        <v>275</v>
      </c>
    </row>
    <row r="31" spans="1:5">
      <c r="A31" s="1" t="s">
        <v>203</v>
      </c>
      <c r="C31">
        <v>52.501829999999998</v>
      </c>
      <c r="D31">
        <f>0.485 * 10^-3</f>
        <v>4.8499999999999997E-4</v>
      </c>
      <c r="E31" t="s">
        <v>282</v>
      </c>
    </row>
    <row r="32" spans="1:5">
      <c r="A32" s="1" t="s">
        <v>204</v>
      </c>
      <c r="C32">
        <v>52.501829999999998</v>
      </c>
      <c r="D32">
        <f>0.655* 10^-3</f>
        <v>6.5500000000000009E-4</v>
      </c>
      <c r="E32" t="s">
        <v>282</v>
      </c>
    </row>
    <row r="33" spans="1:5">
      <c r="A33" s="1" t="s">
        <v>207</v>
      </c>
      <c r="C33">
        <v>68.559349999999995</v>
      </c>
      <c r="D33">
        <v>8.4000000000000005E-2</v>
      </c>
      <c r="E33" t="s">
        <v>281</v>
      </c>
    </row>
    <row r="34" spans="1:5">
      <c r="A34" s="1" t="s">
        <v>208</v>
      </c>
      <c r="C34">
        <v>73.959350000000001</v>
      </c>
      <c r="D34">
        <v>0.128</v>
      </c>
      <c r="E34" t="s">
        <v>281</v>
      </c>
    </row>
    <row r="35" spans="1:5">
      <c r="A35" s="1" t="s">
        <v>209</v>
      </c>
      <c r="C35">
        <v>71.179349999999999</v>
      </c>
      <c r="D35">
        <v>0.125</v>
      </c>
      <c r="E35" t="s">
        <v>281</v>
      </c>
    </row>
    <row r="36" spans="1:5" ht="15" thickBot="1">
      <c r="A36" s="2" t="s">
        <v>210</v>
      </c>
      <c r="C36">
        <v>81.669349999999994</v>
      </c>
      <c r="D36" s="3">
        <v>0.12</v>
      </c>
      <c r="E36" t="s">
        <v>281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D0F9-0C15-4433-91BC-0BBF81F41706}">
  <sheetPr>
    <pageSetUpPr fitToPage="1"/>
  </sheetPr>
  <dimension ref="A1:K45"/>
  <sheetViews>
    <sheetView showGridLines="0" topLeftCell="A5" zoomScale="110" zoomScaleNormal="110" workbookViewId="0">
      <selection activeCell="B13" sqref="B13"/>
    </sheetView>
  </sheetViews>
  <sheetFormatPr defaultRowHeight="14.45"/>
  <cols>
    <col min="1" max="1" width="22.140625" customWidth="1"/>
    <col min="2" max="2" width="13" customWidth="1"/>
    <col min="3" max="3" width="18.28515625" customWidth="1"/>
    <col min="4" max="4" width="17" customWidth="1"/>
    <col min="5" max="5" width="17.7109375" customWidth="1"/>
    <col min="6" max="6" width="18" customWidth="1"/>
    <col min="7" max="7" width="23.85546875" customWidth="1"/>
    <col min="8" max="9" width="22.85546875" customWidth="1"/>
    <col min="10" max="10" width="22.85546875" style="9" customWidth="1"/>
    <col min="11" max="11" width="22.42578125" bestFit="1" customWidth="1"/>
  </cols>
  <sheetData>
    <row r="1" spans="1:11" ht="54" customHeight="1">
      <c r="A1" s="377" t="s">
        <v>9</v>
      </c>
      <c r="B1" s="378"/>
      <c r="C1" s="378"/>
      <c r="D1" s="378"/>
      <c r="E1" s="378"/>
      <c r="F1" s="378"/>
      <c r="G1" s="379"/>
    </row>
    <row r="2" spans="1:11" ht="18">
      <c r="A2" s="133" t="s">
        <v>18</v>
      </c>
      <c r="B2" s="111"/>
      <c r="C2" s="112"/>
      <c r="D2" s="112"/>
      <c r="E2" s="112"/>
      <c r="F2" s="112"/>
      <c r="G2" s="113"/>
    </row>
    <row r="3" spans="1:11" ht="18">
      <c r="A3" s="91" t="s">
        <v>19</v>
      </c>
      <c r="B3" s="92"/>
      <c r="C3" s="93"/>
      <c r="D3" s="93"/>
      <c r="E3" s="93"/>
      <c r="F3" s="93"/>
      <c r="G3" s="94"/>
    </row>
    <row r="4" spans="1:11" s="12" customFormat="1" ht="43.5" customHeight="1">
      <c r="A4" s="386" t="s">
        <v>20</v>
      </c>
      <c r="B4" s="387"/>
      <c r="C4" s="387"/>
      <c r="D4" s="387"/>
      <c r="E4" s="387"/>
      <c r="F4" s="387"/>
      <c r="G4" s="388"/>
    </row>
    <row r="5" spans="1:11" s="11" customFormat="1" ht="36" customHeight="1">
      <c r="A5" s="389" t="s">
        <v>21</v>
      </c>
      <c r="B5" s="387"/>
      <c r="C5" s="387"/>
      <c r="D5" s="387"/>
      <c r="E5" s="387"/>
      <c r="F5" s="387"/>
      <c r="G5" s="388"/>
    </row>
    <row r="6" spans="1:11" ht="18">
      <c r="A6" s="224"/>
      <c r="B6" s="225"/>
      <c r="C6" s="225"/>
      <c r="D6" s="25"/>
      <c r="E6" s="25"/>
      <c r="F6" s="25"/>
      <c r="G6" s="226"/>
    </row>
    <row r="7" spans="1:11" ht="18">
      <c r="A7" s="91" t="s">
        <v>22</v>
      </c>
      <c r="B7" s="96"/>
      <c r="C7" s="96"/>
      <c r="D7" s="93"/>
      <c r="E7" s="93"/>
      <c r="F7" s="93"/>
      <c r="G7" s="97"/>
    </row>
    <row r="8" spans="1:11" ht="18.75" customHeight="1">
      <c r="A8" s="383" t="s">
        <v>23</v>
      </c>
      <c r="B8" s="384"/>
      <c r="C8" s="384"/>
      <c r="D8" s="384"/>
      <c r="E8" s="384"/>
      <c r="F8" s="384"/>
      <c r="G8" s="385"/>
      <c r="H8" s="10"/>
      <c r="I8" s="10"/>
      <c r="J8" s="10"/>
      <c r="K8" s="10"/>
    </row>
    <row r="9" spans="1:11" ht="20.25" customHeight="1">
      <c r="A9" s="383" t="s">
        <v>24</v>
      </c>
      <c r="B9" s="384"/>
      <c r="C9" s="384"/>
      <c r="D9" s="384"/>
      <c r="E9" s="384"/>
      <c r="F9" s="384"/>
      <c r="G9" s="385"/>
      <c r="H9" s="10"/>
      <c r="I9" s="10"/>
      <c r="J9" s="10"/>
      <c r="K9" s="10"/>
    </row>
    <row r="10" spans="1:11" ht="35.450000000000003" customHeight="1">
      <c r="A10" s="380" t="s">
        <v>25</v>
      </c>
      <c r="B10" s="381"/>
      <c r="C10" s="381"/>
      <c r="D10" s="381"/>
      <c r="E10" s="381"/>
      <c r="F10" s="381"/>
      <c r="G10" s="382"/>
      <c r="H10" s="10"/>
      <c r="I10" s="10"/>
      <c r="J10" s="10"/>
      <c r="K10" s="10"/>
    </row>
    <row r="11" spans="1:11">
      <c r="A11" s="110"/>
      <c r="B11" s="114"/>
      <c r="C11" s="114"/>
      <c r="D11" s="114"/>
      <c r="E11" s="114"/>
      <c r="F11" s="114"/>
      <c r="G11" s="115"/>
    </row>
    <row r="12" spans="1:11" ht="39.75" customHeight="1">
      <c r="A12" s="87" t="s">
        <v>26</v>
      </c>
      <c r="B12" s="351" t="s">
        <v>27</v>
      </c>
      <c r="C12" s="351" t="s">
        <v>28</v>
      </c>
      <c r="D12" s="351" t="s">
        <v>29</v>
      </c>
      <c r="E12" s="88" t="s">
        <v>30</v>
      </c>
      <c r="F12" s="89" t="s">
        <v>31</v>
      </c>
      <c r="G12" s="90" t="s">
        <v>32</v>
      </c>
      <c r="H12" s="5"/>
    </row>
    <row r="13" spans="1:11">
      <c r="A13" s="98"/>
      <c r="B13" s="99"/>
      <c r="C13" s="100" t="str">
        <f>IFERROR(VLOOKUP(A13,'list items (hide)'!A:E,5,FALSE),"")</f>
        <v/>
      </c>
      <c r="D13" s="100" t="s">
        <v>33</v>
      </c>
      <c r="E13" s="100" t="str">
        <f>IFERROR(IF(Table3[[#This Row],[Fuel Source]]="In State", VLOOKUP(A13,'list items (hide)'!A:C,3,FALSE), VLOOKUP(A13,'list items (hide)'!A:C,2,FALSE)),"")</f>
        <v/>
      </c>
      <c r="F13" s="102" t="str">
        <f>IFERROR(VLOOKUP(A13,'list items (hide)'!A:D,4,FALSE),"")</f>
        <v/>
      </c>
      <c r="G13" s="103" t="str">
        <f>IFERROR(Table3[[#This Row],[Fuel Qty ]]*Table3[[#This Row],[EF* (KgCO2e/MMBtu)]]*Table3[[#This Row],[High Heat Value (MMBtu/fuel unit)]]/1000,"")</f>
        <v/>
      </c>
    </row>
    <row r="14" spans="1:11">
      <c r="A14" s="17"/>
      <c r="B14" s="8"/>
      <c r="C14" s="6" t="str">
        <f>IFERROR(VLOOKUP(A14,'list items (hide)'!A:E,5,FALSE),"")</f>
        <v/>
      </c>
      <c r="D14" s="6" t="s">
        <v>33</v>
      </c>
      <c r="E14" s="6" t="str">
        <f>IFERROR(IF(Table3[[#This Row],[Fuel Source]]="In State", VLOOKUP(A14,'list items (hide)'!A:C,3,FALSE), VLOOKUP(A14,'list items (hide)'!A:C,2,FALSE)),"")</f>
        <v/>
      </c>
      <c r="F14" s="7" t="str">
        <f>IFERROR(VLOOKUP(A14,'list items (hide)'!A:D,4,FALSE),"")</f>
        <v/>
      </c>
      <c r="G14" s="18" t="str">
        <f>IFERROR(Table3[[#This Row],[Fuel Qty ]]*Table3[[#This Row],[EF* (KgCO2e/MMBtu)]]*Table3[[#This Row],[High Heat Value (MMBtu/fuel unit)]]/1000,"")</f>
        <v/>
      </c>
    </row>
    <row r="15" spans="1:11">
      <c r="A15" s="98"/>
      <c r="B15" s="101"/>
      <c r="C15" s="100" t="str">
        <f>IFERROR(VLOOKUP(A15,'list items (hide)'!A:E,5,FALSE),"")</f>
        <v/>
      </c>
      <c r="D15" s="100" t="s">
        <v>33</v>
      </c>
      <c r="E15" s="100" t="str">
        <f>IFERROR(IF(Table3[[#This Row],[Fuel Source]]="In State", VLOOKUP(A15,'list items (hide)'!A:C,3,FALSE), VLOOKUP(A15,'list items (hide)'!A:C,2,FALSE)),"")</f>
        <v/>
      </c>
      <c r="F15" s="102" t="str">
        <f>IFERROR(VLOOKUP(A15,'list items (hide)'!A:D,4,FALSE),"")</f>
        <v/>
      </c>
      <c r="G15" s="104" t="str">
        <f>IFERROR(Table3[[#This Row],[Fuel Qty ]]*Table3[[#This Row],[EF* (KgCO2e/MMBtu)]]*Table3[[#This Row],[High Heat Value (MMBtu/fuel unit)]]/1000,"")</f>
        <v/>
      </c>
    </row>
    <row r="16" spans="1:11">
      <c r="A16" s="17"/>
      <c r="B16" s="8"/>
      <c r="C16" s="6" t="str">
        <f>IFERROR(VLOOKUP(A16,'list items (hide)'!A:E,5,FALSE),"")</f>
        <v/>
      </c>
      <c r="D16" s="6" t="s">
        <v>33</v>
      </c>
      <c r="E16" s="6" t="str">
        <f>IFERROR(IF(Table3[[#This Row],[Fuel Source]]="In State", VLOOKUP(A16,'list items (hide)'!A:C,3,FALSE), VLOOKUP(A16,'list items (hide)'!A:C,2,FALSE)),"")</f>
        <v/>
      </c>
      <c r="F16" s="7" t="str">
        <f>IFERROR(VLOOKUP(A16,'list items (hide)'!A:D,4,FALSE),"")</f>
        <v/>
      </c>
      <c r="G16" s="18" t="str">
        <f>IFERROR(Table3[[#This Row],[Fuel Qty ]]*Table3[[#This Row],[EF* (KgCO2e/MMBtu)]]*Table3[[#This Row],[High Heat Value (MMBtu/fuel unit)]]/1000,"")</f>
        <v/>
      </c>
    </row>
    <row r="17" spans="1:10">
      <c r="A17" s="105"/>
      <c r="B17" s="106"/>
      <c r="C17" s="107" t="str">
        <f>IFERROR(VLOOKUP(A17,'list items (hide)'!A:E,5,FALSE),"")</f>
        <v/>
      </c>
      <c r="D17" s="100" t="s">
        <v>33</v>
      </c>
      <c r="E17" s="107" t="str">
        <f>IFERROR(IF(Table3[[#This Row],[Fuel Source]]="In State", VLOOKUP(A17,'list items (hide)'!A:C,3,FALSE), VLOOKUP(A17,'list items (hide)'!A:C,2,FALSE)),"")</f>
        <v/>
      </c>
      <c r="F17" s="108" t="str">
        <f>IFERROR(VLOOKUP(A17,'list items (hide)'!A:D,4,FALSE),"")</f>
        <v/>
      </c>
      <c r="G17" s="109" t="str">
        <f>IFERROR(Table3[[#This Row],[Fuel Qty ]]*Table3[[#This Row],[EF* (KgCO2e/MMBtu)]]*Table3[[#This Row],[High Heat Value (MMBtu/fuel unit)]]/1000,"")</f>
        <v/>
      </c>
    </row>
    <row r="18" spans="1:10" s="49" customFormat="1">
      <c r="A18" s="231"/>
      <c r="B18" s="232"/>
      <c r="C18" s="233" t="str">
        <f>IFERROR(VLOOKUP(A18,'list items (hide)'!A:E,5,FALSE),"")</f>
        <v/>
      </c>
      <c r="D18" s="242" t="s">
        <v>33</v>
      </c>
      <c r="E18" s="233" t="str">
        <f>IFERROR(IF(Table3[[#This Row],[Fuel Source]]="In State", VLOOKUP(A18,'list items (hide)'!A:C,3,FALSE), VLOOKUP(A18,'list items (hide)'!A:C,2,FALSE)),"")</f>
        <v/>
      </c>
      <c r="F18" s="234" t="str">
        <f>IFERROR(VLOOKUP(A18,'list items (hide)'!A:D,4,FALSE),"")</f>
        <v/>
      </c>
      <c r="G18" s="235" t="str">
        <f>IFERROR(Table3[[#This Row],[Fuel Qty ]]*Table3[[#This Row],[EF* (KgCO2e/MMBtu)]]*Table3[[#This Row],[High Heat Value (MMBtu/fuel unit)]]/1000,"")</f>
        <v/>
      </c>
      <c r="J18" s="236"/>
    </row>
    <row r="19" spans="1:10">
      <c r="A19" s="105"/>
      <c r="B19" s="106"/>
      <c r="C19" s="107" t="str">
        <f>IFERROR(VLOOKUP(A19,'list items (hide)'!A:E,5,FALSE),"")</f>
        <v/>
      </c>
      <c r="D19" s="100" t="s">
        <v>33</v>
      </c>
      <c r="E19" s="107" t="str">
        <f>IFERROR(IF(Table3[[#This Row],[Fuel Source]]="In State", VLOOKUP(A19,'list items (hide)'!A:C,3,FALSE), VLOOKUP(A19,'list items (hide)'!A:C,2,FALSE)),"")</f>
        <v/>
      </c>
      <c r="F19" s="108" t="str">
        <f>IFERROR(VLOOKUP(A19,'list items (hide)'!A:D,4,FALSE),"")</f>
        <v/>
      </c>
      <c r="G19" s="109" t="str">
        <f>IFERROR(Table3[[#This Row],[Fuel Qty ]]*Table3[[#This Row],[EF* (KgCO2e/MMBtu)]]*Table3[[#This Row],[High Heat Value (MMBtu/fuel unit)]]/1000,"")</f>
        <v/>
      </c>
    </row>
    <row r="20" spans="1:10" s="49" customFormat="1">
      <c r="A20" s="231"/>
      <c r="B20" s="232"/>
      <c r="C20" s="233" t="str">
        <f>IFERROR(VLOOKUP(A20,'list items (hide)'!A:E,5,FALSE),"")</f>
        <v/>
      </c>
      <c r="D20" s="242" t="s">
        <v>33</v>
      </c>
      <c r="E20" s="233" t="str">
        <f>IFERROR(IF(Table3[[#This Row],[Fuel Source]]="In State", VLOOKUP(A20,'list items (hide)'!A:C,3,FALSE), VLOOKUP(A20,'list items (hide)'!A:C,2,FALSE)),"")</f>
        <v/>
      </c>
      <c r="F20" s="234" t="str">
        <f>IFERROR(VLOOKUP(A20,'list items (hide)'!A:D,4,FALSE),"")</f>
        <v/>
      </c>
      <c r="G20" s="235" t="str">
        <f>IFERROR(Table3[[#This Row],[Fuel Qty ]]*Table3[[#This Row],[EF* (KgCO2e/MMBtu)]]*Table3[[#This Row],[High Heat Value (MMBtu/fuel unit)]]/1000,"")</f>
        <v/>
      </c>
      <c r="J20" s="236"/>
    </row>
    <row r="21" spans="1:10">
      <c r="A21" s="105"/>
      <c r="B21" s="106"/>
      <c r="C21" s="107" t="str">
        <f>IFERROR(VLOOKUP(A21,'list items (hide)'!A:E,5,FALSE),"")</f>
        <v/>
      </c>
      <c r="D21" s="100" t="s">
        <v>33</v>
      </c>
      <c r="E21" s="107" t="str">
        <f>IFERROR(IF(Table3[[#This Row],[Fuel Source]]="In State", VLOOKUP(A21,'list items (hide)'!A:C,3,FALSE), VLOOKUP(A21,'list items (hide)'!A:C,2,FALSE)),"")</f>
        <v/>
      </c>
      <c r="F21" s="108" t="str">
        <f>IFERROR(VLOOKUP(A21,'list items (hide)'!A:D,4,FALSE),"")</f>
        <v/>
      </c>
      <c r="G21" s="109" t="str">
        <f>IFERROR(Table3[[#This Row],[Fuel Qty ]]*Table3[[#This Row],[EF* (KgCO2e/MMBtu)]]*Table3[[#This Row],[High Heat Value (MMBtu/fuel unit)]]/1000,"")</f>
        <v/>
      </c>
    </row>
    <row r="22" spans="1:10" s="49" customFormat="1">
      <c r="A22" s="231"/>
      <c r="B22" s="232"/>
      <c r="C22" s="233" t="str">
        <f>IFERROR(VLOOKUP(A22,'list items (hide)'!A:E,5,FALSE),"")</f>
        <v/>
      </c>
      <c r="D22" s="242" t="s">
        <v>33</v>
      </c>
      <c r="E22" s="233" t="str">
        <f>IFERROR(IF(Table3[[#This Row],[Fuel Source]]="In State", VLOOKUP(A22,'list items (hide)'!A:C,3,FALSE), VLOOKUP(A22,'list items (hide)'!A:C,2,FALSE)),"")</f>
        <v/>
      </c>
      <c r="F22" s="234" t="str">
        <f>IFERROR(VLOOKUP(A22,'list items (hide)'!A:D,4,FALSE),"")</f>
        <v/>
      </c>
      <c r="G22" s="235" t="str">
        <f>IFERROR(Table3[[#This Row],[Fuel Qty ]]*Table3[[#This Row],[EF* (KgCO2e/MMBtu)]]*Table3[[#This Row],[High Heat Value (MMBtu/fuel unit)]]/1000,"")</f>
        <v/>
      </c>
      <c r="J22" s="236"/>
    </row>
    <row r="23" spans="1:10">
      <c r="A23" s="105"/>
      <c r="B23" s="106"/>
      <c r="C23" s="107" t="str">
        <f>IFERROR(VLOOKUP(A23,'list items (hide)'!A:E,5,FALSE),"")</f>
        <v/>
      </c>
      <c r="D23" s="100" t="s">
        <v>33</v>
      </c>
      <c r="E23" s="107" t="str">
        <f>IFERROR(IF(Table3[[#This Row],[Fuel Source]]="In State", VLOOKUP(A23,'list items (hide)'!A:C,3,FALSE), VLOOKUP(A23,'list items (hide)'!A:C,2,FALSE)),"")</f>
        <v/>
      </c>
      <c r="F23" s="108" t="str">
        <f>IFERROR(VLOOKUP(A23,'list items (hide)'!A:D,4,FALSE),"")</f>
        <v/>
      </c>
      <c r="G23" s="109" t="str">
        <f>IFERROR(Table3[[#This Row],[Fuel Qty ]]*Table3[[#This Row],[EF* (KgCO2e/MMBtu)]]*Table3[[#This Row],[High Heat Value (MMBtu/fuel unit)]]/1000,"")</f>
        <v/>
      </c>
    </row>
    <row r="24" spans="1:10" s="49" customFormat="1">
      <c r="A24" s="231"/>
      <c r="B24" s="232"/>
      <c r="C24" s="233" t="str">
        <f>IFERROR(VLOOKUP(A24,'list items (hide)'!A:E,5,FALSE),"")</f>
        <v/>
      </c>
      <c r="D24" s="242" t="s">
        <v>33</v>
      </c>
      <c r="E24" s="233" t="str">
        <f>IFERROR(IF(Table3[[#This Row],[Fuel Source]]="In State", VLOOKUP(A24,'list items (hide)'!A:C,3,FALSE), VLOOKUP(A24,'list items (hide)'!A:C,2,FALSE)),"")</f>
        <v/>
      </c>
      <c r="F24" s="234" t="str">
        <f>IFERROR(VLOOKUP(A24,'list items (hide)'!A:D,4,FALSE),"")</f>
        <v/>
      </c>
      <c r="G24" s="235" t="str">
        <f>IFERROR(Table3[[#This Row],[Fuel Qty ]]*Table3[[#This Row],[EF* (KgCO2e/MMBtu)]]*Table3[[#This Row],[High Heat Value (MMBtu/fuel unit)]]/1000,"")</f>
        <v/>
      </c>
      <c r="J24" s="236"/>
    </row>
    <row r="25" spans="1:10">
      <c r="A25" s="105"/>
      <c r="B25" s="106"/>
      <c r="C25" s="107" t="str">
        <f>IFERROR(VLOOKUP(A25,'list items (hide)'!A:E,5,FALSE),"")</f>
        <v/>
      </c>
      <c r="D25" s="100" t="s">
        <v>33</v>
      </c>
      <c r="E25" s="107" t="str">
        <f>IFERROR(IF(Table3[[#This Row],[Fuel Source]]="In State", VLOOKUP(A25,'list items (hide)'!A:C,3,FALSE), VLOOKUP(A25,'list items (hide)'!A:C,2,FALSE)),"")</f>
        <v/>
      </c>
      <c r="F25" s="108" t="str">
        <f>IFERROR(VLOOKUP(A25,'list items (hide)'!A:D,4,FALSE),"")</f>
        <v/>
      </c>
      <c r="G25" s="109" t="str">
        <f>IFERROR(Table3[[#This Row],[Fuel Qty ]]*Table3[[#This Row],[EF* (KgCO2e/MMBtu)]]*Table3[[#This Row],[High Heat Value (MMBtu/fuel unit)]]/1000,"")</f>
        <v/>
      </c>
    </row>
    <row r="26" spans="1:10" s="49" customFormat="1">
      <c r="A26" s="231"/>
      <c r="B26" s="232"/>
      <c r="C26" s="233" t="str">
        <f>IFERROR(VLOOKUP(A26,'list items (hide)'!A:E,5,FALSE),"")</f>
        <v/>
      </c>
      <c r="D26" s="242" t="s">
        <v>33</v>
      </c>
      <c r="E26" s="233" t="str">
        <f>IFERROR(IF(Table3[[#This Row],[Fuel Source]]="In State", VLOOKUP(A26,'list items (hide)'!A:C,3,FALSE), VLOOKUP(A26,'list items (hide)'!A:C,2,FALSE)),"")</f>
        <v/>
      </c>
      <c r="F26" s="234" t="str">
        <f>IFERROR(VLOOKUP(A26,'list items (hide)'!A:D,4,FALSE),"")</f>
        <v/>
      </c>
      <c r="G26" s="235" t="str">
        <f>IFERROR(Table3[[#This Row],[Fuel Qty ]]*Table3[[#This Row],[EF* (KgCO2e/MMBtu)]]*Table3[[#This Row],[High Heat Value (MMBtu/fuel unit)]]/1000,"")</f>
        <v/>
      </c>
      <c r="J26" s="236"/>
    </row>
    <row r="27" spans="1:10">
      <c r="A27" s="105"/>
      <c r="B27" s="106"/>
      <c r="C27" s="107" t="str">
        <f>IFERROR(VLOOKUP(A27,'list items (hide)'!A:E,5,FALSE),"")</f>
        <v/>
      </c>
      <c r="D27" s="100" t="s">
        <v>33</v>
      </c>
      <c r="E27" s="107" t="str">
        <f>IFERROR(IF(Table3[[#This Row],[Fuel Source]]="In State", VLOOKUP(A27,'list items (hide)'!A:C,3,FALSE), VLOOKUP(A27,'list items (hide)'!A:C,2,FALSE)),"")</f>
        <v/>
      </c>
      <c r="F27" s="108" t="str">
        <f>IFERROR(VLOOKUP(A27,'list items (hide)'!A:D,4,FALSE),"")</f>
        <v/>
      </c>
      <c r="G27" s="109" t="str">
        <f>IFERROR(Table3[[#This Row],[Fuel Qty ]]*Table3[[#This Row],[EF* (KgCO2e/MMBtu)]]*Table3[[#This Row],[High Heat Value (MMBtu/fuel unit)]]/1000,"")</f>
        <v/>
      </c>
    </row>
    <row r="28" spans="1:10" s="49" customFormat="1">
      <c r="A28" s="231"/>
      <c r="B28" s="232"/>
      <c r="C28" s="233" t="str">
        <f>IFERROR(VLOOKUP(A28,'list items (hide)'!A:E,5,FALSE),"")</f>
        <v/>
      </c>
      <c r="D28" s="242" t="s">
        <v>33</v>
      </c>
      <c r="E28" s="233" t="str">
        <f>IFERROR(IF(Table3[[#This Row],[Fuel Source]]="In State", VLOOKUP(A28,'list items (hide)'!A:C,3,FALSE), VLOOKUP(A28,'list items (hide)'!A:C,2,FALSE)),"")</f>
        <v/>
      </c>
      <c r="F28" s="234" t="str">
        <f>IFERROR(VLOOKUP(A28,'list items (hide)'!A:D,4,FALSE),"")</f>
        <v/>
      </c>
      <c r="G28" s="235" t="str">
        <f>IFERROR(Table3[[#This Row],[Fuel Qty ]]*Table3[[#This Row],[EF* (KgCO2e/MMBtu)]]*Table3[[#This Row],[High Heat Value (MMBtu/fuel unit)]]/1000,"")</f>
        <v/>
      </c>
      <c r="J28" s="236"/>
    </row>
    <row r="29" spans="1:10">
      <c r="A29" s="105"/>
      <c r="B29" s="106"/>
      <c r="C29" s="107" t="str">
        <f>IFERROR(VLOOKUP(A29,'list items (hide)'!A:E,5,FALSE),"")</f>
        <v/>
      </c>
      <c r="D29" s="100" t="s">
        <v>33</v>
      </c>
      <c r="E29" s="107" t="str">
        <f>IFERROR(IF(Table3[[#This Row],[Fuel Source]]="In State", VLOOKUP(A29,'list items (hide)'!A:C,3,FALSE), VLOOKUP(A29,'list items (hide)'!A:C,2,FALSE)),"")</f>
        <v/>
      </c>
      <c r="F29" s="108" t="str">
        <f>IFERROR(VLOOKUP(A29,'list items (hide)'!A:D,4,FALSE),"")</f>
        <v/>
      </c>
      <c r="G29" s="109" t="str">
        <f>IFERROR(Table3[[#This Row],[Fuel Qty ]]*Table3[[#This Row],[EF* (KgCO2e/MMBtu)]]*Table3[[#This Row],[High Heat Value (MMBtu/fuel unit)]]/1000,"")</f>
        <v/>
      </c>
    </row>
    <row r="30" spans="1:10" s="49" customFormat="1">
      <c r="A30" s="231"/>
      <c r="B30" s="232"/>
      <c r="C30" s="233" t="str">
        <f>IFERROR(VLOOKUP(A30,'list items (hide)'!A:E,5,FALSE),"")</f>
        <v/>
      </c>
      <c r="D30" s="242" t="s">
        <v>33</v>
      </c>
      <c r="E30" s="233" t="str">
        <f>IFERROR(IF(Table3[[#This Row],[Fuel Source]]="In State", VLOOKUP(A30,'list items (hide)'!A:C,3,FALSE), VLOOKUP(A30,'list items (hide)'!A:C,2,FALSE)),"")</f>
        <v/>
      </c>
      <c r="F30" s="234" t="str">
        <f>IFERROR(VLOOKUP(A30,'list items (hide)'!A:D,4,FALSE),"")</f>
        <v/>
      </c>
      <c r="G30" s="235" t="str">
        <f>IFERROR(Table3[[#This Row],[Fuel Qty ]]*Table3[[#This Row],[EF* (KgCO2e/MMBtu)]]*Table3[[#This Row],[High Heat Value (MMBtu/fuel unit)]]/1000,"")</f>
        <v/>
      </c>
      <c r="J30" s="236"/>
    </row>
    <row r="31" spans="1:10">
      <c r="A31" s="105"/>
      <c r="B31" s="106"/>
      <c r="C31" s="107" t="str">
        <f>IFERROR(VLOOKUP(A31,'list items (hide)'!A:E,5,FALSE),"")</f>
        <v/>
      </c>
      <c r="D31" s="100" t="s">
        <v>33</v>
      </c>
      <c r="E31" s="107" t="str">
        <f>IFERROR(IF(Table3[[#This Row],[Fuel Source]]="In State", VLOOKUP(A31,'list items (hide)'!A:C,3,FALSE), VLOOKUP(A31,'list items (hide)'!A:C,2,FALSE)),"")</f>
        <v/>
      </c>
      <c r="F31" s="108" t="str">
        <f>IFERROR(VLOOKUP(A31,'list items (hide)'!A:D,4,FALSE),"")</f>
        <v/>
      </c>
      <c r="G31" s="109" t="str">
        <f>IFERROR(Table3[[#This Row],[Fuel Qty ]]*Table3[[#This Row],[EF* (KgCO2e/MMBtu)]]*Table3[[#This Row],[High Heat Value (MMBtu/fuel unit)]]/1000,"")</f>
        <v/>
      </c>
    </row>
    <row r="32" spans="1:10" s="49" customFormat="1">
      <c r="A32" s="231"/>
      <c r="B32" s="232"/>
      <c r="C32" s="233" t="str">
        <f>IFERROR(VLOOKUP(A32,'list items (hide)'!A:E,5,FALSE),"")</f>
        <v/>
      </c>
      <c r="D32" s="242" t="s">
        <v>33</v>
      </c>
      <c r="E32" s="233" t="str">
        <f>IFERROR(IF(Table3[[#This Row],[Fuel Source]]="In State", VLOOKUP(A32,'list items (hide)'!A:C,3,FALSE), VLOOKUP(A32,'list items (hide)'!A:C,2,FALSE)),"")</f>
        <v/>
      </c>
      <c r="F32" s="234" t="str">
        <f>IFERROR(VLOOKUP(A32,'list items (hide)'!A:D,4,FALSE),"")</f>
        <v/>
      </c>
      <c r="G32" s="235" t="str">
        <f>IFERROR(Table3[[#This Row],[Fuel Qty ]]*Table3[[#This Row],[EF* (KgCO2e/MMBtu)]]*Table3[[#This Row],[High Heat Value (MMBtu/fuel unit)]]/1000,"")</f>
        <v/>
      </c>
      <c r="J32" s="236"/>
    </row>
    <row r="33" spans="1:10">
      <c r="A33" s="105"/>
      <c r="B33" s="106"/>
      <c r="C33" s="107" t="str">
        <f>IFERROR(VLOOKUP(A33,'list items (hide)'!A:E,5,FALSE),"")</f>
        <v/>
      </c>
      <c r="D33" s="100" t="s">
        <v>33</v>
      </c>
      <c r="E33" s="107" t="str">
        <f>IFERROR(IF(Table3[[#This Row],[Fuel Source]]="In State", VLOOKUP(A33,'list items (hide)'!A:C,3,FALSE), VLOOKUP(A33,'list items (hide)'!A:C,2,FALSE)),"")</f>
        <v/>
      </c>
      <c r="F33" s="108" t="str">
        <f>IFERROR(VLOOKUP(A33,'list items (hide)'!A:D,4,FALSE),"")</f>
        <v/>
      </c>
      <c r="G33" s="109" t="str">
        <f>IFERROR(Table3[[#This Row],[Fuel Qty ]]*Table3[[#This Row],[EF* (KgCO2e/MMBtu)]]*Table3[[#This Row],[High Heat Value (MMBtu/fuel unit)]]/1000,"")</f>
        <v/>
      </c>
    </row>
    <row r="34" spans="1:10" s="49" customFormat="1">
      <c r="A34" s="231"/>
      <c r="B34" s="232"/>
      <c r="C34" s="233" t="str">
        <f>IFERROR(VLOOKUP(A34,'list items (hide)'!A:E,5,FALSE),"")</f>
        <v/>
      </c>
      <c r="D34" s="242" t="s">
        <v>33</v>
      </c>
      <c r="E34" s="233" t="str">
        <f>IFERROR(IF(Table3[[#This Row],[Fuel Source]]="In State", VLOOKUP(A34,'list items (hide)'!A:C,3,FALSE), VLOOKUP(A34,'list items (hide)'!A:C,2,FALSE)),"")</f>
        <v/>
      </c>
      <c r="F34" s="234" t="str">
        <f>IFERROR(VLOOKUP(A34,'list items (hide)'!A:D,4,FALSE),"")</f>
        <v/>
      </c>
      <c r="G34" s="235" t="str">
        <f>IFERROR(Table3[[#This Row],[Fuel Qty ]]*Table3[[#This Row],[EF* (KgCO2e/MMBtu)]]*Table3[[#This Row],[High Heat Value (MMBtu/fuel unit)]]/1000,"")</f>
        <v/>
      </c>
      <c r="J34" s="236"/>
    </row>
    <row r="35" spans="1:10">
      <c r="A35" s="105"/>
      <c r="B35" s="106"/>
      <c r="C35" s="107" t="str">
        <f>IFERROR(VLOOKUP(A35,'list items (hide)'!A:E,5,FALSE),"")</f>
        <v/>
      </c>
      <c r="D35" s="100" t="s">
        <v>33</v>
      </c>
      <c r="E35" s="107" t="str">
        <f>IFERROR(IF(Table3[[#This Row],[Fuel Source]]="In State", VLOOKUP(A35,'list items (hide)'!A:C,3,FALSE), VLOOKUP(A35,'list items (hide)'!A:C,2,FALSE)),"")</f>
        <v/>
      </c>
      <c r="F35" s="108" t="str">
        <f>IFERROR(VLOOKUP(A35,'list items (hide)'!A:D,4,FALSE),"")</f>
        <v/>
      </c>
      <c r="G35" s="109" t="str">
        <f>IFERROR(Table3[[#This Row],[Fuel Qty ]]*Table3[[#This Row],[EF* (KgCO2e/MMBtu)]]*Table3[[#This Row],[High Heat Value (MMBtu/fuel unit)]]/1000,"")</f>
        <v/>
      </c>
    </row>
    <row r="36" spans="1:10" s="49" customFormat="1">
      <c r="A36" s="231"/>
      <c r="B36" s="232"/>
      <c r="C36" s="233" t="str">
        <f>IFERROR(VLOOKUP(A36,'list items (hide)'!A:E,5,FALSE),"")</f>
        <v/>
      </c>
      <c r="D36" s="242" t="s">
        <v>33</v>
      </c>
      <c r="E36" s="233" t="str">
        <f>IFERROR(IF(Table3[[#This Row],[Fuel Source]]="In State", VLOOKUP(A36,'list items (hide)'!A:C,3,FALSE), VLOOKUP(A36,'list items (hide)'!A:C,2,FALSE)),"")</f>
        <v/>
      </c>
      <c r="F36" s="234" t="str">
        <f>IFERROR(VLOOKUP(A36,'list items (hide)'!A:D,4,FALSE),"")</f>
        <v/>
      </c>
      <c r="G36" s="235" t="str">
        <f>IFERROR(Table3[[#This Row],[Fuel Qty ]]*Table3[[#This Row],[EF* (KgCO2e/MMBtu)]]*Table3[[#This Row],[High Heat Value (MMBtu/fuel unit)]]/1000,"")</f>
        <v/>
      </c>
      <c r="J36" s="236"/>
    </row>
    <row r="37" spans="1:10">
      <c r="A37" s="105"/>
      <c r="B37" s="106"/>
      <c r="C37" s="107" t="str">
        <f>IFERROR(VLOOKUP(A37,'list items (hide)'!A:E,5,FALSE),"")</f>
        <v/>
      </c>
      <c r="D37" s="100" t="s">
        <v>33</v>
      </c>
      <c r="E37" s="107" t="str">
        <f>IFERROR(IF(Table3[[#This Row],[Fuel Source]]="In State", VLOOKUP(A37,'list items (hide)'!A:C,3,FALSE), VLOOKUP(A37,'list items (hide)'!A:C,2,FALSE)),"")</f>
        <v/>
      </c>
      <c r="F37" s="108" t="str">
        <f>IFERROR(VLOOKUP(A37,'list items (hide)'!A:D,4,FALSE),"")</f>
        <v/>
      </c>
      <c r="G37" s="109" t="str">
        <f>IFERROR(Table3[[#This Row],[Fuel Qty ]]*Table3[[#This Row],[EF* (KgCO2e/MMBtu)]]*Table3[[#This Row],[High Heat Value (MMBtu/fuel unit)]]/1000,"")</f>
        <v/>
      </c>
    </row>
    <row r="38" spans="1:10" s="49" customFormat="1">
      <c r="A38" s="231"/>
      <c r="B38" s="232"/>
      <c r="C38" s="233" t="str">
        <f>IFERROR(VLOOKUP(A38,'list items (hide)'!A:E,5,FALSE),"")</f>
        <v/>
      </c>
      <c r="D38" s="242" t="s">
        <v>33</v>
      </c>
      <c r="E38" s="233" t="str">
        <f>IFERROR(IF(Table3[[#This Row],[Fuel Source]]="In State", VLOOKUP(A38,'list items (hide)'!A:C,3,FALSE), VLOOKUP(A38,'list items (hide)'!A:C,2,FALSE)),"")</f>
        <v/>
      </c>
      <c r="F38" s="234" t="str">
        <f>IFERROR(VLOOKUP(A38,'list items (hide)'!A:D,4,FALSE),"")</f>
        <v/>
      </c>
      <c r="G38" s="235" t="str">
        <f>IFERROR(Table3[[#This Row],[Fuel Qty ]]*Table3[[#This Row],[EF* (KgCO2e/MMBtu)]]*Table3[[#This Row],[High Heat Value (MMBtu/fuel unit)]]/1000,"")</f>
        <v/>
      </c>
      <c r="J38" s="236"/>
    </row>
    <row r="39" spans="1:10">
      <c r="A39" s="105"/>
      <c r="B39" s="106"/>
      <c r="C39" s="107" t="str">
        <f>IFERROR(VLOOKUP(A39,'list items (hide)'!A:E,5,FALSE),"")</f>
        <v/>
      </c>
      <c r="D39" s="100" t="s">
        <v>33</v>
      </c>
      <c r="E39" s="107" t="str">
        <f>IFERROR(IF(Table3[[#This Row],[Fuel Source]]="In State", VLOOKUP(A39,'list items (hide)'!A:C,3,FALSE), VLOOKUP(A39,'list items (hide)'!A:C,2,FALSE)),"")</f>
        <v/>
      </c>
      <c r="F39" s="108" t="str">
        <f>IFERROR(VLOOKUP(A39,'list items (hide)'!A:D,4,FALSE),"")</f>
        <v/>
      </c>
      <c r="G39" s="109" t="str">
        <f>IFERROR(Table3[[#This Row],[Fuel Qty ]]*Table3[[#This Row],[EF* (KgCO2e/MMBtu)]]*Table3[[#This Row],[High Heat Value (MMBtu/fuel unit)]]/1000,"")</f>
        <v/>
      </c>
    </row>
    <row r="40" spans="1:10" s="49" customFormat="1">
      <c r="A40" s="231"/>
      <c r="B40" s="232"/>
      <c r="C40" s="233" t="str">
        <f>IFERROR(VLOOKUP(A40,'list items (hide)'!A:E,5,FALSE),"")</f>
        <v/>
      </c>
      <c r="D40" s="242" t="s">
        <v>33</v>
      </c>
      <c r="E40" s="233" t="str">
        <f>IFERROR(IF(Table3[[#This Row],[Fuel Source]]="In State", VLOOKUP(A40,'list items (hide)'!A:C,3,FALSE), VLOOKUP(A40,'list items (hide)'!A:C,2,FALSE)),"")</f>
        <v/>
      </c>
      <c r="F40" s="234" t="str">
        <f>IFERROR(VLOOKUP(A40,'list items (hide)'!A:D,4,FALSE),"")</f>
        <v/>
      </c>
      <c r="G40" s="235" t="str">
        <f>IFERROR(Table3[[#This Row],[Fuel Qty ]]*Table3[[#This Row],[EF* (KgCO2e/MMBtu)]]*Table3[[#This Row],[High Heat Value (MMBtu/fuel unit)]]/1000,"")</f>
        <v/>
      </c>
      <c r="J40" s="236"/>
    </row>
    <row r="41" spans="1:10">
      <c r="A41" s="105"/>
      <c r="B41" s="106"/>
      <c r="C41" s="107" t="str">
        <f>IFERROR(VLOOKUP(A41,'list items (hide)'!A:E,5,FALSE),"")</f>
        <v/>
      </c>
      <c r="D41" s="100" t="s">
        <v>33</v>
      </c>
      <c r="E41" s="107" t="str">
        <f>IFERROR(IF(Table3[[#This Row],[Fuel Source]]="In State", VLOOKUP(A41,'list items (hide)'!A:C,3,FALSE), VLOOKUP(A41,'list items (hide)'!A:C,2,FALSE)),"")</f>
        <v/>
      </c>
      <c r="F41" s="108" t="str">
        <f>IFERROR(VLOOKUP(A41,'list items (hide)'!A:D,4,FALSE),"")</f>
        <v/>
      </c>
      <c r="G41" s="109" t="str">
        <f>IFERROR(Table3[[#This Row],[Fuel Qty ]]*Table3[[#This Row],[EF* (KgCO2e/MMBtu)]]*Table3[[#This Row],[High Heat Value (MMBtu/fuel unit)]]/1000,"")</f>
        <v/>
      </c>
    </row>
    <row r="42" spans="1:10" s="49" customFormat="1">
      <c r="A42" s="231"/>
      <c r="B42" s="232"/>
      <c r="C42" s="233" t="str">
        <f>IFERROR(VLOOKUP(A42,'list items (hide)'!A:E,5,FALSE),"")</f>
        <v/>
      </c>
      <c r="D42" s="242" t="s">
        <v>33</v>
      </c>
      <c r="E42" s="233" t="str">
        <f>IFERROR(IF(Table3[[#This Row],[Fuel Source]]="In State", VLOOKUP(A42,'list items (hide)'!A:C,3,FALSE), VLOOKUP(A42,'list items (hide)'!A:C,2,FALSE)),"")</f>
        <v/>
      </c>
      <c r="F42" s="234" t="str">
        <f>IFERROR(VLOOKUP(A42,'list items (hide)'!A:D,4,FALSE),"")</f>
        <v/>
      </c>
      <c r="G42" s="235" t="str">
        <f>IFERROR(Table3[[#This Row],[Fuel Qty ]]*Table3[[#This Row],[EF* (KgCO2e/MMBtu)]]*Table3[[#This Row],[High Heat Value (MMBtu/fuel unit)]]/1000,"")</f>
        <v/>
      </c>
      <c r="J42" s="236"/>
    </row>
    <row r="43" spans="1:10">
      <c r="A43" s="105"/>
      <c r="B43" s="106"/>
      <c r="C43" s="107" t="str">
        <f>IFERROR(VLOOKUP(A43,'list items (hide)'!A:E,5,FALSE),"")</f>
        <v/>
      </c>
      <c r="D43" s="100" t="s">
        <v>33</v>
      </c>
      <c r="E43" s="107" t="str">
        <f>IFERROR(IF(Table3[[#This Row],[Fuel Source]]="In State", VLOOKUP(A43,'list items (hide)'!A:C,3,FALSE), VLOOKUP(A43,'list items (hide)'!A:C,2,FALSE)),"")</f>
        <v/>
      </c>
      <c r="F43" s="108" t="str">
        <f>IFERROR(VLOOKUP(A43,'list items (hide)'!A:D,4,FALSE),"")</f>
        <v/>
      </c>
      <c r="G43" s="109" t="str">
        <f>IFERROR(Table3[[#This Row],[Fuel Qty ]]*Table3[[#This Row],[EF* (KgCO2e/MMBtu)]]*Table3[[#This Row],[High Heat Value (MMBtu/fuel unit)]]/1000,"")</f>
        <v/>
      </c>
    </row>
    <row r="44" spans="1:10" ht="15.6">
      <c r="A44" s="15"/>
      <c r="B44" s="5"/>
      <c r="C44" s="5"/>
      <c r="D44" s="5"/>
      <c r="E44" s="13"/>
      <c r="F44" s="14" t="s">
        <v>34</v>
      </c>
      <c r="G44" s="16">
        <f>SUMIF(Table3[Emissions CO2e (MT)], "&gt;0")</f>
        <v>0</v>
      </c>
    </row>
    <row r="45" spans="1:10" ht="57" customHeight="1" thickBot="1">
      <c r="A45" s="374" t="s">
        <v>35</v>
      </c>
      <c r="B45" s="375"/>
      <c r="C45" s="375"/>
      <c r="D45" s="375"/>
      <c r="E45" s="375"/>
      <c r="F45" s="375"/>
      <c r="G45" s="376"/>
    </row>
  </sheetData>
  <sheetProtection algorithmName="SHA-512" hashValue="ajRRrhoxCvc4RE38XSVIiuqavd2goRlpV+EuHLHlvj1HpuzYVTyU7fn78EOUkJ/4OHHyUYo0xf9Lrm9veaqzGA==" saltValue="yW0a0H8SajQ8FXDRLwgUsg==" spinCount="100000" sheet="1" insertRows="0"/>
  <mergeCells count="7">
    <mergeCell ref="A45:G45"/>
    <mergeCell ref="A1:G1"/>
    <mergeCell ref="A10:G10"/>
    <mergeCell ref="A8:G8"/>
    <mergeCell ref="A9:G9"/>
    <mergeCell ref="A4:G4"/>
    <mergeCell ref="A5:G5"/>
  </mergeCells>
  <dataValidations count="2">
    <dataValidation type="list" allowBlank="1" showInputMessage="1" showErrorMessage="1" sqref="N14" xr:uid="{6E014C06-D477-4A96-AA7C-08E58B2A1783}">
      <formula1>Fuel_Type</formula1>
    </dataValidation>
    <dataValidation type="list" allowBlank="1" showInputMessage="1" showErrorMessage="1" sqref="D13:D43" xr:uid="{2B24099D-C250-46B4-B139-26EBCDB362B1}">
      <formula1>Emissions_Type</formula1>
    </dataValidation>
  </dataValidations>
  <hyperlinks>
    <hyperlink ref="A2" location="'Table of Contents'!A1" display="return to table of contents" xr:uid="{5951829B-3304-445C-86B9-69EC881BC9B1}"/>
  </hyperlinks>
  <pageMargins left="0.7" right="0.7" top="0.75" bottom="0.75" header="0.3" footer="0.3"/>
  <pageSetup fitToHeight="0" orientation="portrait"/>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80314FD-A63A-41CC-947A-C6BD8016E484}">
          <x14:formula1>
            <xm:f>'list items (hide)'!$A$2:$A$36</xm:f>
          </x14:formula1>
          <xm:sqref>A13:A18 A20:A43</xm:sqref>
        </x14:dataValidation>
        <x14:dataValidation type="list" allowBlank="1" showInputMessage="1" showErrorMessage="1" errorTitle="Invalid Entry" error="Please select a fuel from the list. If your fuel is not in the list choose the most similar fuel for estimation purposes. " xr:uid="{71948402-6FF3-471A-831B-C04E8D44DB39}">
          <x14:formula1>
            <xm:f>'list items (hide)'!$A$2:$A$36</xm:f>
          </x14:formula1>
          <xm:sqref>A19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EC08-9B7B-4706-A101-6FB21A5D5128}">
  <dimension ref="A1:I96"/>
  <sheetViews>
    <sheetView showGridLines="0" topLeftCell="A69" zoomScale="110" zoomScaleNormal="110" workbookViewId="0">
      <selection activeCell="D95" sqref="D95:F95"/>
    </sheetView>
  </sheetViews>
  <sheetFormatPr defaultRowHeight="14.45"/>
  <cols>
    <col min="1" max="1" width="21.140625" customWidth="1"/>
    <col min="2" max="2" width="39.28515625" customWidth="1"/>
    <col min="3" max="3" width="17.42578125" customWidth="1"/>
    <col min="4" max="4" width="9.28515625" customWidth="1"/>
    <col min="5" max="5" width="11.140625" customWidth="1"/>
    <col min="6" max="6" width="10.42578125" customWidth="1"/>
    <col min="7" max="7" width="34.140625" customWidth="1"/>
  </cols>
  <sheetData>
    <row r="1" spans="1:9" ht="54" customHeight="1">
      <c r="A1" s="421" t="s">
        <v>36</v>
      </c>
      <c r="B1" s="422"/>
      <c r="C1" s="422"/>
      <c r="D1" s="422"/>
      <c r="E1" s="422"/>
      <c r="F1" s="422"/>
      <c r="G1" s="422"/>
      <c r="H1" s="423"/>
    </row>
    <row r="2" spans="1:9" ht="18" customHeight="1">
      <c r="A2" s="280" t="s">
        <v>18</v>
      </c>
      <c r="B2" s="279"/>
      <c r="C2" s="279"/>
      <c r="D2" s="279"/>
      <c r="E2" s="279"/>
      <c r="F2" s="279"/>
      <c r="G2" s="279"/>
      <c r="H2" s="246"/>
    </row>
    <row r="3" spans="1:9" ht="18" customHeight="1">
      <c r="A3" s="398" t="s">
        <v>19</v>
      </c>
      <c r="B3" s="399"/>
      <c r="C3" s="399"/>
      <c r="D3" s="399"/>
      <c r="E3" s="399"/>
      <c r="F3" s="399"/>
      <c r="G3" s="399"/>
      <c r="H3" s="400"/>
    </row>
    <row r="4" spans="1:9" ht="33" customHeight="1">
      <c r="A4" s="401" t="s">
        <v>37</v>
      </c>
      <c r="B4" s="402"/>
      <c r="C4" s="402"/>
      <c r="D4" s="402"/>
      <c r="E4" s="402"/>
      <c r="F4" s="402"/>
      <c r="G4" s="402"/>
      <c r="H4" s="403"/>
      <c r="I4" s="23"/>
    </row>
    <row r="5" spans="1:9" ht="48" customHeight="1">
      <c r="A5" s="401" t="s">
        <v>38</v>
      </c>
      <c r="B5" s="402"/>
      <c r="C5" s="402"/>
      <c r="D5" s="402"/>
      <c r="E5" s="402"/>
      <c r="F5" s="402"/>
      <c r="G5" s="402"/>
      <c r="H5" s="403"/>
    </row>
    <row r="6" spans="1:9" ht="19.899999999999999" customHeight="1">
      <c r="A6" s="404" t="s">
        <v>39</v>
      </c>
      <c r="B6" s="405"/>
      <c r="C6" s="405"/>
      <c r="D6" s="405"/>
      <c r="E6" s="405"/>
      <c r="F6" s="405"/>
      <c r="G6" s="405"/>
      <c r="H6" s="406"/>
    </row>
    <row r="7" spans="1:9" ht="15" customHeight="1">
      <c r="A7" s="281"/>
      <c r="B7" s="282"/>
      <c r="C7" s="282"/>
      <c r="D7" s="282"/>
      <c r="E7" s="282"/>
      <c r="F7" s="282"/>
      <c r="G7" s="282"/>
      <c r="H7" s="248"/>
    </row>
    <row r="8" spans="1:9" ht="15" customHeight="1">
      <c r="A8" s="398" t="s">
        <v>22</v>
      </c>
      <c r="B8" s="399"/>
      <c r="C8" s="399"/>
      <c r="D8" s="399"/>
      <c r="E8" s="399"/>
      <c r="F8" s="399"/>
      <c r="G8" s="399"/>
      <c r="H8" s="400"/>
    </row>
    <row r="9" spans="1:9" ht="15.75" customHeight="1">
      <c r="A9" s="418" t="s">
        <v>40</v>
      </c>
      <c r="B9" s="419"/>
      <c r="C9" s="419"/>
      <c r="D9" s="419"/>
      <c r="E9" s="419"/>
      <c r="F9" s="419"/>
      <c r="G9" s="419"/>
      <c r="H9" s="420"/>
    </row>
    <row r="10" spans="1:9" ht="15.75" customHeight="1">
      <c r="A10" s="390" t="s">
        <v>41</v>
      </c>
      <c r="B10" s="391"/>
      <c r="C10" s="391"/>
      <c r="D10" s="391"/>
      <c r="E10" s="391"/>
      <c r="F10" s="391"/>
      <c r="G10" s="391"/>
      <c r="H10" s="392"/>
      <c r="I10" s="5"/>
    </row>
    <row r="11" spans="1:9" ht="15.75" customHeight="1">
      <c r="A11" s="390" t="s">
        <v>42</v>
      </c>
      <c r="B11" s="391"/>
      <c r="C11" s="391"/>
      <c r="D11" s="391"/>
      <c r="E11" s="391"/>
      <c r="F11" s="391"/>
      <c r="G11" s="391"/>
      <c r="H11" s="392"/>
    </row>
    <row r="12" spans="1:9" ht="20.25" customHeight="1">
      <c r="A12" s="395" t="s">
        <v>43</v>
      </c>
      <c r="B12" s="396"/>
      <c r="C12" s="396"/>
      <c r="D12" s="396"/>
      <c r="E12" s="396"/>
      <c r="F12" s="396"/>
      <c r="G12" s="396"/>
      <c r="H12" s="397"/>
    </row>
    <row r="13" spans="1:9" ht="18" customHeight="1">
      <c r="A13" s="284"/>
      <c r="B13" s="278"/>
      <c r="C13" s="278"/>
      <c r="D13" s="278"/>
      <c r="E13" s="278"/>
      <c r="F13" s="278"/>
      <c r="G13" s="283"/>
      <c r="H13" s="248"/>
    </row>
    <row r="14" spans="1:9" ht="20.25" customHeight="1">
      <c r="A14" s="390" t="s">
        <v>44</v>
      </c>
      <c r="B14" s="391"/>
      <c r="C14" s="391"/>
      <c r="D14" s="391"/>
      <c r="E14" s="391"/>
      <c r="F14" s="391"/>
      <c r="G14" s="391"/>
      <c r="H14" s="392"/>
    </row>
    <row r="15" spans="1:9" ht="30" customHeight="1">
      <c r="A15" s="390"/>
      <c r="B15" s="391"/>
      <c r="C15" s="391"/>
      <c r="D15" s="391"/>
      <c r="E15" s="391"/>
      <c r="F15" s="391"/>
      <c r="G15" s="391"/>
      <c r="H15" s="392"/>
    </row>
    <row r="16" spans="1:9" ht="22.9" customHeight="1">
      <c r="A16" s="393" t="s">
        <v>45</v>
      </c>
      <c r="B16" s="384"/>
      <c r="C16" s="384"/>
      <c r="D16" s="384"/>
      <c r="E16" s="384"/>
      <c r="F16" s="384"/>
      <c r="G16" s="384"/>
      <c r="H16" s="394"/>
    </row>
    <row r="17" spans="1:8" ht="21" customHeight="1">
      <c r="A17" s="393" t="s">
        <v>46</v>
      </c>
      <c r="B17" s="384"/>
      <c r="C17" s="384"/>
      <c r="D17" s="384"/>
      <c r="E17" s="384"/>
      <c r="F17" s="384"/>
      <c r="G17" s="384"/>
      <c r="H17" s="394"/>
    </row>
    <row r="18" spans="1:8" ht="21" customHeight="1">
      <c r="A18" s="395" t="s">
        <v>47</v>
      </c>
      <c r="B18" s="396"/>
      <c r="C18" s="396"/>
      <c r="D18" s="396"/>
      <c r="E18" s="396"/>
      <c r="F18" s="396"/>
      <c r="G18" s="396"/>
      <c r="H18" s="397"/>
    </row>
    <row r="19" spans="1:8" ht="15" customHeight="1">
      <c r="A19" s="24"/>
      <c r="B19" s="28"/>
      <c r="C19" s="28"/>
      <c r="D19" s="28"/>
      <c r="E19" s="28"/>
      <c r="F19" s="28"/>
      <c r="G19" s="28"/>
      <c r="H19" s="19"/>
    </row>
    <row r="20" spans="1:8" ht="33.6" customHeight="1" thickBot="1">
      <c r="A20" s="120" t="s">
        <v>48</v>
      </c>
      <c r="B20" s="121" t="s">
        <v>49</v>
      </c>
      <c r="C20" s="122" t="s">
        <v>50</v>
      </c>
      <c r="D20" s="20"/>
      <c r="E20" s="71"/>
      <c r="F20" s="71"/>
      <c r="G20" s="20"/>
      <c r="H20" s="21"/>
    </row>
    <row r="21" spans="1:8">
      <c r="A21" s="126">
        <v>1960</v>
      </c>
      <c r="B21" s="101"/>
      <c r="C21" s="127">
        <f t="shared" ref="C21:C52" si="0">B21*MCF*DOC*DOCF*F*(16/12)*(EXP(-k*($A$87-A21-1))-EXP(-k*($A$87-A21)))</f>
        <v>0</v>
      </c>
      <c r="D21" s="5"/>
      <c r="E21" s="123" t="s">
        <v>51</v>
      </c>
      <c r="F21" s="130">
        <v>1</v>
      </c>
      <c r="G21" s="5"/>
      <c r="H21" s="19"/>
    </row>
    <row r="22" spans="1:8">
      <c r="A22" s="50">
        <v>1961</v>
      </c>
      <c r="B22" s="51"/>
      <c r="C22" s="52">
        <f t="shared" si="0"/>
        <v>0</v>
      </c>
      <c r="D22" s="5"/>
      <c r="E22" s="124" t="s">
        <v>52</v>
      </c>
      <c r="F22" s="131">
        <v>0.22</v>
      </c>
      <c r="G22" s="5"/>
      <c r="H22" s="19"/>
    </row>
    <row r="23" spans="1:8" ht="15.6">
      <c r="A23" s="126">
        <v>1962</v>
      </c>
      <c r="B23" s="101"/>
      <c r="C23" s="127">
        <f t="shared" si="0"/>
        <v>0</v>
      </c>
      <c r="D23" s="5"/>
      <c r="E23" s="124" t="s">
        <v>53</v>
      </c>
      <c r="F23" s="131">
        <v>0.5</v>
      </c>
      <c r="G23" s="5"/>
      <c r="H23" s="19"/>
    </row>
    <row r="24" spans="1:8">
      <c r="A24" s="50">
        <v>1963</v>
      </c>
      <c r="B24" s="51"/>
      <c r="C24" s="52">
        <f t="shared" si="0"/>
        <v>0</v>
      </c>
      <c r="D24" s="5"/>
      <c r="E24" s="124" t="s">
        <v>54</v>
      </c>
      <c r="F24" s="131">
        <v>0.5</v>
      </c>
      <c r="G24" s="5"/>
      <c r="H24" s="19"/>
    </row>
    <row r="25" spans="1:8" ht="15" thickBot="1">
      <c r="A25" s="126">
        <v>1964</v>
      </c>
      <c r="B25" s="101"/>
      <c r="C25" s="127">
        <f t="shared" si="0"/>
        <v>0</v>
      </c>
      <c r="D25" s="5"/>
      <c r="E25" s="125" t="s">
        <v>55</v>
      </c>
      <c r="F25" s="132">
        <v>3.7999999999999999E-2</v>
      </c>
      <c r="G25" s="5"/>
      <c r="H25" s="19"/>
    </row>
    <row r="26" spans="1:8">
      <c r="A26" s="50">
        <v>1965</v>
      </c>
      <c r="B26" s="51"/>
      <c r="C26" s="52">
        <f t="shared" si="0"/>
        <v>0</v>
      </c>
      <c r="D26" s="5"/>
      <c r="E26" s="27"/>
      <c r="F26" s="25"/>
      <c r="G26" s="5"/>
      <c r="H26" s="19"/>
    </row>
    <row r="27" spans="1:8">
      <c r="A27" s="126">
        <v>1966</v>
      </c>
      <c r="B27" s="101"/>
      <c r="C27" s="127">
        <f t="shared" si="0"/>
        <v>0</v>
      </c>
      <c r="D27" s="5"/>
      <c r="E27" s="5"/>
      <c r="F27" s="5"/>
      <c r="G27" s="5"/>
      <c r="H27" s="19"/>
    </row>
    <row r="28" spans="1:8">
      <c r="A28" s="50">
        <v>1967</v>
      </c>
      <c r="B28" s="51"/>
      <c r="C28" s="52">
        <f t="shared" si="0"/>
        <v>0</v>
      </c>
      <c r="D28" s="5"/>
      <c r="E28" s="5"/>
      <c r="F28" s="5"/>
      <c r="G28" s="5"/>
      <c r="H28" s="19"/>
    </row>
    <row r="29" spans="1:8">
      <c r="A29" s="126">
        <v>1968</v>
      </c>
      <c r="B29" s="101"/>
      <c r="C29" s="127">
        <f t="shared" si="0"/>
        <v>0</v>
      </c>
      <c r="D29" s="5"/>
      <c r="E29" s="5"/>
      <c r="F29" s="5"/>
      <c r="G29" s="5"/>
      <c r="H29" s="19"/>
    </row>
    <row r="30" spans="1:8">
      <c r="A30" s="50">
        <v>1969</v>
      </c>
      <c r="B30" s="51"/>
      <c r="C30" s="52">
        <f t="shared" si="0"/>
        <v>0</v>
      </c>
      <c r="D30" s="5"/>
      <c r="E30" s="5"/>
      <c r="F30" s="5"/>
      <c r="G30" s="5"/>
      <c r="H30" s="19"/>
    </row>
    <row r="31" spans="1:8">
      <c r="A31" s="126">
        <v>1970</v>
      </c>
      <c r="B31" s="101"/>
      <c r="C31" s="127">
        <f t="shared" si="0"/>
        <v>0</v>
      </c>
      <c r="D31" s="5"/>
      <c r="E31" s="5"/>
      <c r="F31" s="5"/>
      <c r="G31" s="5"/>
      <c r="H31" s="19"/>
    </row>
    <row r="32" spans="1:8">
      <c r="A32" s="50">
        <v>1971</v>
      </c>
      <c r="B32" s="51"/>
      <c r="C32" s="52">
        <f t="shared" si="0"/>
        <v>0</v>
      </c>
      <c r="D32" s="5"/>
      <c r="E32" s="5"/>
      <c r="F32" s="5"/>
      <c r="G32" s="5"/>
      <c r="H32" s="19"/>
    </row>
    <row r="33" spans="1:8">
      <c r="A33" s="126">
        <v>1972</v>
      </c>
      <c r="B33" s="101"/>
      <c r="C33" s="127">
        <f t="shared" si="0"/>
        <v>0</v>
      </c>
      <c r="D33" s="5"/>
      <c r="E33" s="5"/>
      <c r="F33" s="5"/>
      <c r="G33" s="5"/>
      <c r="H33" s="19"/>
    </row>
    <row r="34" spans="1:8" s="49" customFormat="1">
      <c r="A34" s="50">
        <v>1973</v>
      </c>
      <c r="B34" s="51"/>
      <c r="C34" s="52">
        <f t="shared" si="0"/>
        <v>0</v>
      </c>
      <c r="D34" s="25"/>
      <c r="E34" s="25"/>
      <c r="F34" s="25"/>
      <c r="G34" s="25"/>
      <c r="H34" s="26"/>
    </row>
    <row r="35" spans="1:8">
      <c r="A35" s="126">
        <v>1974</v>
      </c>
      <c r="B35" s="101"/>
      <c r="C35" s="127">
        <f t="shared" si="0"/>
        <v>0</v>
      </c>
      <c r="D35" s="5"/>
      <c r="E35" s="5"/>
      <c r="F35" s="5"/>
      <c r="G35" s="5"/>
      <c r="H35" s="19"/>
    </row>
    <row r="36" spans="1:8" s="49" customFormat="1">
      <c r="A36" s="50">
        <v>1975</v>
      </c>
      <c r="B36" s="51"/>
      <c r="C36" s="52">
        <f t="shared" si="0"/>
        <v>0</v>
      </c>
      <c r="D36" s="25"/>
      <c r="E36" s="25"/>
      <c r="F36" s="25"/>
      <c r="G36" s="25"/>
      <c r="H36" s="26"/>
    </row>
    <row r="37" spans="1:8">
      <c r="A37" s="126">
        <v>1976</v>
      </c>
      <c r="B37" s="101"/>
      <c r="C37" s="127">
        <f t="shared" si="0"/>
        <v>0</v>
      </c>
      <c r="D37" s="5"/>
      <c r="E37" s="5"/>
      <c r="F37" s="5"/>
      <c r="G37" s="5"/>
      <c r="H37" s="19"/>
    </row>
    <row r="38" spans="1:8" s="49" customFormat="1">
      <c r="A38" s="50">
        <v>1977</v>
      </c>
      <c r="B38" s="51"/>
      <c r="C38" s="52">
        <f t="shared" si="0"/>
        <v>0</v>
      </c>
      <c r="D38" s="25"/>
      <c r="E38" s="25"/>
      <c r="F38" s="25"/>
      <c r="G38" s="25"/>
      <c r="H38" s="26"/>
    </row>
    <row r="39" spans="1:8">
      <c r="A39" s="126">
        <v>1978</v>
      </c>
      <c r="B39" s="101"/>
      <c r="C39" s="127">
        <f t="shared" si="0"/>
        <v>0</v>
      </c>
      <c r="D39" s="5"/>
      <c r="E39" s="5"/>
      <c r="F39" s="5"/>
      <c r="G39" s="5"/>
      <c r="H39" s="19"/>
    </row>
    <row r="40" spans="1:8" s="49" customFormat="1">
      <c r="A40" s="50">
        <v>1979</v>
      </c>
      <c r="B40" s="51"/>
      <c r="C40" s="52">
        <f t="shared" si="0"/>
        <v>0</v>
      </c>
      <c r="D40" s="25"/>
      <c r="E40" s="25"/>
      <c r="F40" s="25"/>
      <c r="G40" s="25"/>
      <c r="H40" s="26"/>
    </row>
    <row r="41" spans="1:8">
      <c r="A41" s="126">
        <v>1980</v>
      </c>
      <c r="B41" s="101"/>
      <c r="C41" s="127">
        <f t="shared" si="0"/>
        <v>0</v>
      </c>
      <c r="D41" s="5"/>
      <c r="E41" s="5"/>
      <c r="F41" s="5"/>
      <c r="G41" s="5"/>
      <c r="H41" s="19"/>
    </row>
    <row r="42" spans="1:8" s="49" customFormat="1">
      <c r="A42" s="50">
        <v>1981</v>
      </c>
      <c r="B42" s="51"/>
      <c r="C42" s="52">
        <f t="shared" si="0"/>
        <v>0</v>
      </c>
      <c r="D42" s="25"/>
      <c r="E42" s="25"/>
      <c r="F42" s="25"/>
      <c r="G42" s="25"/>
      <c r="H42" s="26"/>
    </row>
    <row r="43" spans="1:8">
      <c r="A43" s="126">
        <v>1982</v>
      </c>
      <c r="B43" s="101"/>
      <c r="C43" s="127">
        <f t="shared" si="0"/>
        <v>0</v>
      </c>
      <c r="D43" s="5"/>
      <c r="E43" s="5"/>
      <c r="F43" s="5"/>
      <c r="G43" s="5"/>
      <c r="H43" s="19"/>
    </row>
    <row r="44" spans="1:8" s="49" customFormat="1">
      <c r="A44" s="50">
        <v>1983</v>
      </c>
      <c r="B44" s="51"/>
      <c r="C44" s="52">
        <f t="shared" si="0"/>
        <v>0</v>
      </c>
      <c r="D44" s="25"/>
      <c r="E44" s="25"/>
      <c r="F44" s="25"/>
      <c r="G44" s="25"/>
      <c r="H44" s="26"/>
    </row>
    <row r="45" spans="1:8">
      <c r="A45" s="126">
        <v>1984</v>
      </c>
      <c r="B45" s="101"/>
      <c r="C45" s="127">
        <f t="shared" si="0"/>
        <v>0</v>
      </c>
      <c r="D45" s="5"/>
      <c r="E45" s="5"/>
      <c r="F45" s="5"/>
      <c r="G45" s="5"/>
      <c r="H45" s="19"/>
    </row>
    <row r="46" spans="1:8" s="49" customFormat="1">
      <c r="A46" s="50">
        <v>1985</v>
      </c>
      <c r="B46" s="51"/>
      <c r="C46" s="52">
        <f t="shared" si="0"/>
        <v>0</v>
      </c>
      <c r="D46" s="25"/>
      <c r="E46" s="25"/>
      <c r="F46" s="25"/>
      <c r="G46" s="25"/>
      <c r="H46" s="26"/>
    </row>
    <row r="47" spans="1:8">
      <c r="A47" s="126">
        <v>1986</v>
      </c>
      <c r="B47" s="101"/>
      <c r="C47" s="127">
        <f t="shared" si="0"/>
        <v>0</v>
      </c>
      <c r="D47" s="5"/>
      <c r="E47" s="5"/>
      <c r="F47" s="5"/>
      <c r="G47" s="5"/>
      <c r="H47" s="19"/>
    </row>
    <row r="48" spans="1:8" s="49" customFormat="1">
      <c r="A48" s="50">
        <v>1987</v>
      </c>
      <c r="B48" s="51"/>
      <c r="C48" s="52">
        <f t="shared" si="0"/>
        <v>0</v>
      </c>
      <c r="D48" s="25"/>
      <c r="E48" s="25"/>
      <c r="F48" s="25"/>
      <c r="G48" s="25"/>
      <c r="H48" s="26"/>
    </row>
    <row r="49" spans="1:8">
      <c r="A49" s="126">
        <v>1988</v>
      </c>
      <c r="B49" s="101"/>
      <c r="C49" s="127">
        <f t="shared" si="0"/>
        <v>0</v>
      </c>
      <c r="D49" s="5"/>
      <c r="E49" s="5"/>
      <c r="F49" s="5"/>
      <c r="G49" s="5"/>
      <c r="H49" s="19"/>
    </row>
    <row r="50" spans="1:8" s="49" customFormat="1">
      <c r="A50" s="50">
        <v>1989</v>
      </c>
      <c r="B50" s="51"/>
      <c r="C50" s="52">
        <f t="shared" si="0"/>
        <v>0</v>
      </c>
      <c r="D50" s="25"/>
      <c r="E50" s="25"/>
      <c r="F50" s="25"/>
      <c r="G50" s="25"/>
      <c r="H50" s="26"/>
    </row>
    <row r="51" spans="1:8">
      <c r="A51" s="126">
        <v>1990</v>
      </c>
      <c r="B51" s="101"/>
      <c r="C51" s="127">
        <f t="shared" si="0"/>
        <v>0</v>
      </c>
      <c r="D51" s="5"/>
      <c r="E51" s="5"/>
      <c r="F51" s="5"/>
      <c r="G51" s="5"/>
      <c r="H51" s="19"/>
    </row>
    <row r="52" spans="1:8" s="49" customFormat="1">
      <c r="A52" s="50">
        <v>1991</v>
      </c>
      <c r="B52" s="51"/>
      <c r="C52" s="52">
        <f t="shared" si="0"/>
        <v>0</v>
      </c>
      <c r="D52" s="25"/>
      <c r="E52" s="25"/>
      <c r="F52" s="25"/>
      <c r="G52" s="25"/>
      <c r="H52" s="26"/>
    </row>
    <row r="53" spans="1:8">
      <c r="A53" s="126">
        <v>1992</v>
      </c>
      <c r="B53" s="101"/>
      <c r="C53" s="127">
        <f t="shared" ref="C53:C84" si="1">B53*MCF*DOC*DOCF*F*(16/12)*(EXP(-k*($A$87-A53-1))-EXP(-k*($A$87-A53)))</f>
        <v>0</v>
      </c>
      <c r="D53" s="5"/>
      <c r="E53" s="5"/>
      <c r="F53" s="5"/>
      <c r="G53" s="5"/>
      <c r="H53" s="19"/>
    </row>
    <row r="54" spans="1:8" s="49" customFormat="1">
      <c r="A54" s="50">
        <v>1993</v>
      </c>
      <c r="B54" s="51"/>
      <c r="C54" s="52">
        <f t="shared" si="1"/>
        <v>0</v>
      </c>
      <c r="D54" s="25"/>
      <c r="E54" s="25"/>
      <c r="F54" s="25"/>
      <c r="G54" s="25"/>
      <c r="H54" s="26"/>
    </row>
    <row r="55" spans="1:8">
      <c r="A55" s="126">
        <v>1994</v>
      </c>
      <c r="B55" s="101"/>
      <c r="C55" s="127">
        <f t="shared" si="1"/>
        <v>0</v>
      </c>
      <c r="D55" s="5"/>
      <c r="E55" s="5"/>
      <c r="F55" s="5"/>
      <c r="G55" s="5"/>
      <c r="H55" s="19"/>
    </row>
    <row r="56" spans="1:8" s="49" customFormat="1">
      <c r="A56" s="50">
        <v>1995</v>
      </c>
      <c r="B56" s="51"/>
      <c r="C56" s="52">
        <f t="shared" si="1"/>
        <v>0</v>
      </c>
      <c r="D56" s="25"/>
      <c r="E56" s="25"/>
      <c r="F56" s="25"/>
      <c r="G56" s="25"/>
      <c r="H56" s="26"/>
    </row>
    <row r="57" spans="1:8">
      <c r="A57" s="126">
        <v>1996</v>
      </c>
      <c r="B57" s="101"/>
      <c r="C57" s="127">
        <f t="shared" si="1"/>
        <v>0</v>
      </c>
      <c r="D57" s="5"/>
      <c r="E57" s="5"/>
      <c r="F57" s="5"/>
      <c r="G57" s="5"/>
      <c r="H57" s="19"/>
    </row>
    <row r="58" spans="1:8" s="49" customFormat="1">
      <c r="A58" s="50">
        <v>1997</v>
      </c>
      <c r="B58" s="51"/>
      <c r="C58" s="52">
        <f t="shared" si="1"/>
        <v>0</v>
      </c>
      <c r="D58" s="25"/>
      <c r="E58" s="25"/>
      <c r="F58" s="25"/>
      <c r="G58" s="25"/>
      <c r="H58" s="26"/>
    </row>
    <row r="59" spans="1:8">
      <c r="A59" s="126">
        <v>1998</v>
      </c>
      <c r="B59" s="101"/>
      <c r="C59" s="127">
        <f t="shared" si="1"/>
        <v>0</v>
      </c>
      <c r="D59" s="5"/>
      <c r="E59" s="5"/>
      <c r="F59" s="5"/>
      <c r="G59" s="5"/>
      <c r="H59" s="19"/>
    </row>
    <row r="60" spans="1:8" s="49" customFormat="1">
      <c r="A60" s="50">
        <v>1999</v>
      </c>
      <c r="B60" s="51"/>
      <c r="C60" s="52">
        <f t="shared" si="1"/>
        <v>0</v>
      </c>
      <c r="D60" s="25"/>
      <c r="E60" s="25"/>
      <c r="F60" s="25"/>
      <c r="G60" s="25"/>
      <c r="H60" s="26"/>
    </row>
    <row r="61" spans="1:8">
      <c r="A61" s="126">
        <v>2000</v>
      </c>
      <c r="B61" s="101"/>
      <c r="C61" s="127">
        <f t="shared" si="1"/>
        <v>0</v>
      </c>
      <c r="D61" s="5"/>
      <c r="E61" s="5"/>
      <c r="F61" s="5"/>
      <c r="G61" s="5"/>
      <c r="H61" s="19"/>
    </row>
    <row r="62" spans="1:8" s="49" customFormat="1">
      <c r="A62" s="50">
        <v>2001</v>
      </c>
      <c r="B62" s="51"/>
      <c r="C62" s="52">
        <f t="shared" si="1"/>
        <v>0</v>
      </c>
      <c r="D62" s="25"/>
      <c r="E62" s="25"/>
      <c r="F62" s="25"/>
      <c r="G62" s="25"/>
      <c r="H62" s="26"/>
    </row>
    <row r="63" spans="1:8">
      <c r="A63" s="126">
        <v>2002</v>
      </c>
      <c r="B63" s="101"/>
      <c r="C63" s="127">
        <f t="shared" si="1"/>
        <v>0</v>
      </c>
      <c r="D63" s="5"/>
      <c r="E63" s="5"/>
      <c r="F63" s="5"/>
      <c r="G63" s="5"/>
      <c r="H63" s="19"/>
    </row>
    <row r="64" spans="1:8" s="49" customFormat="1">
      <c r="A64" s="50">
        <v>2003</v>
      </c>
      <c r="B64" s="51"/>
      <c r="C64" s="52">
        <f t="shared" si="1"/>
        <v>0</v>
      </c>
      <c r="D64" s="25"/>
      <c r="E64" s="25"/>
      <c r="F64" s="25"/>
      <c r="G64" s="25"/>
      <c r="H64" s="26"/>
    </row>
    <row r="65" spans="1:8">
      <c r="A65" s="126">
        <v>2004</v>
      </c>
      <c r="B65" s="101"/>
      <c r="C65" s="127">
        <f t="shared" si="1"/>
        <v>0</v>
      </c>
      <c r="D65" s="5"/>
      <c r="E65" s="5"/>
      <c r="F65" s="5"/>
      <c r="G65" s="5"/>
      <c r="H65" s="19"/>
    </row>
    <row r="66" spans="1:8" s="49" customFormat="1">
      <c r="A66" s="50">
        <v>2005</v>
      </c>
      <c r="B66" s="51"/>
      <c r="C66" s="52">
        <f t="shared" si="1"/>
        <v>0</v>
      </c>
      <c r="D66" s="25"/>
      <c r="E66" s="25"/>
      <c r="F66" s="25"/>
      <c r="G66" s="25"/>
      <c r="H66" s="26"/>
    </row>
    <row r="67" spans="1:8">
      <c r="A67" s="126">
        <v>2006</v>
      </c>
      <c r="B67" s="101"/>
      <c r="C67" s="127">
        <f t="shared" si="1"/>
        <v>0</v>
      </c>
      <c r="D67" s="5"/>
      <c r="E67" s="5"/>
      <c r="F67" s="5"/>
      <c r="G67" s="5"/>
      <c r="H67" s="19"/>
    </row>
    <row r="68" spans="1:8" s="49" customFormat="1">
      <c r="A68" s="50">
        <v>2007</v>
      </c>
      <c r="B68" s="51"/>
      <c r="C68" s="52">
        <f t="shared" si="1"/>
        <v>0</v>
      </c>
      <c r="D68" s="25"/>
      <c r="E68" s="25"/>
      <c r="F68" s="25"/>
      <c r="G68" s="25"/>
      <c r="H68" s="26"/>
    </row>
    <row r="69" spans="1:8">
      <c r="A69" s="126">
        <v>2008</v>
      </c>
      <c r="B69" s="101"/>
      <c r="C69" s="127">
        <f t="shared" si="1"/>
        <v>0</v>
      </c>
      <c r="D69" s="5"/>
      <c r="E69" s="5"/>
      <c r="F69" s="5"/>
      <c r="G69" s="5"/>
      <c r="H69" s="19"/>
    </row>
    <row r="70" spans="1:8" s="49" customFormat="1">
      <c r="A70" s="50">
        <v>2009</v>
      </c>
      <c r="B70" s="51"/>
      <c r="C70" s="52">
        <f t="shared" si="1"/>
        <v>0</v>
      </c>
      <c r="D70" s="25"/>
      <c r="E70" s="25"/>
      <c r="F70" s="25"/>
      <c r="G70" s="25"/>
      <c r="H70" s="26"/>
    </row>
    <row r="71" spans="1:8">
      <c r="A71" s="126">
        <v>2010</v>
      </c>
      <c r="B71" s="101"/>
      <c r="C71" s="127">
        <f t="shared" si="1"/>
        <v>0</v>
      </c>
      <c r="D71" s="5"/>
      <c r="E71" s="5"/>
      <c r="F71" s="5"/>
      <c r="G71" s="5"/>
      <c r="H71" s="19"/>
    </row>
    <row r="72" spans="1:8" s="49" customFormat="1">
      <c r="A72" s="50">
        <v>2011</v>
      </c>
      <c r="B72" s="51"/>
      <c r="C72" s="52">
        <f t="shared" si="1"/>
        <v>0</v>
      </c>
      <c r="D72" s="25"/>
      <c r="E72" s="25"/>
      <c r="F72" s="25"/>
      <c r="G72" s="25"/>
      <c r="H72" s="26"/>
    </row>
    <row r="73" spans="1:8">
      <c r="A73" s="126">
        <v>2012</v>
      </c>
      <c r="B73" s="101"/>
      <c r="C73" s="127">
        <f t="shared" si="1"/>
        <v>0</v>
      </c>
      <c r="D73" s="5"/>
      <c r="E73" s="5"/>
      <c r="F73" s="5"/>
      <c r="G73" s="5"/>
      <c r="H73" s="19"/>
    </row>
    <row r="74" spans="1:8" s="49" customFormat="1">
      <c r="A74" s="50">
        <v>2013</v>
      </c>
      <c r="B74" s="51"/>
      <c r="C74" s="52">
        <f t="shared" si="1"/>
        <v>0</v>
      </c>
      <c r="D74" s="25"/>
      <c r="E74" s="25"/>
      <c r="F74" s="25"/>
      <c r="G74" s="25"/>
      <c r="H74" s="26"/>
    </row>
    <row r="75" spans="1:8">
      <c r="A75" s="126">
        <v>2014</v>
      </c>
      <c r="B75" s="101"/>
      <c r="C75" s="127">
        <f t="shared" si="1"/>
        <v>0</v>
      </c>
      <c r="D75" s="5"/>
      <c r="E75" s="5"/>
      <c r="F75" s="5"/>
      <c r="G75" s="5"/>
      <c r="H75" s="19"/>
    </row>
    <row r="76" spans="1:8" s="49" customFormat="1">
      <c r="A76" s="50">
        <v>2015</v>
      </c>
      <c r="B76" s="51"/>
      <c r="C76" s="52">
        <f t="shared" si="1"/>
        <v>0</v>
      </c>
      <c r="D76" s="25"/>
      <c r="E76" s="25"/>
      <c r="F76" s="25"/>
      <c r="G76" s="25"/>
      <c r="H76" s="26"/>
    </row>
    <row r="77" spans="1:8">
      <c r="A77" s="126">
        <v>2016</v>
      </c>
      <c r="B77" s="101"/>
      <c r="C77" s="127">
        <f t="shared" si="1"/>
        <v>0</v>
      </c>
      <c r="D77" s="5"/>
      <c r="E77" s="5"/>
      <c r="F77" s="5"/>
      <c r="G77" s="5"/>
      <c r="H77" s="19"/>
    </row>
    <row r="78" spans="1:8" s="49" customFormat="1">
      <c r="A78" s="50">
        <v>2017</v>
      </c>
      <c r="B78" s="51"/>
      <c r="C78" s="52">
        <f t="shared" si="1"/>
        <v>0</v>
      </c>
      <c r="D78" s="25"/>
      <c r="E78" s="25"/>
      <c r="F78" s="25"/>
      <c r="G78" s="25"/>
      <c r="H78" s="26"/>
    </row>
    <row r="79" spans="1:8">
      <c r="A79" s="126">
        <v>2018</v>
      </c>
      <c r="B79" s="101"/>
      <c r="C79" s="127">
        <f t="shared" si="1"/>
        <v>0</v>
      </c>
      <c r="D79" s="5"/>
      <c r="E79" s="5"/>
      <c r="F79" s="5"/>
      <c r="G79" s="5"/>
      <c r="H79" s="19"/>
    </row>
    <row r="80" spans="1:8" s="49" customFormat="1">
      <c r="A80" s="50">
        <v>2019</v>
      </c>
      <c r="B80" s="51"/>
      <c r="C80" s="52">
        <f t="shared" si="1"/>
        <v>0</v>
      </c>
      <c r="D80" s="25"/>
      <c r="E80" s="25"/>
      <c r="F80" s="25"/>
      <c r="G80" s="25"/>
      <c r="H80" s="26"/>
    </row>
    <row r="81" spans="1:8">
      <c r="A81" s="126">
        <v>2020</v>
      </c>
      <c r="B81" s="101"/>
      <c r="C81" s="127">
        <f t="shared" si="1"/>
        <v>0</v>
      </c>
      <c r="D81" s="5"/>
      <c r="E81" s="5"/>
      <c r="F81" s="5"/>
      <c r="G81" s="5"/>
      <c r="H81" s="19"/>
    </row>
    <row r="82" spans="1:8" s="49" customFormat="1">
      <c r="A82" s="50">
        <v>2021</v>
      </c>
      <c r="B82" s="51"/>
      <c r="C82" s="52">
        <f t="shared" si="1"/>
        <v>0</v>
      </c>
      <c r="D82" s="25"/>
      <c r="E82" s="25"/>
      <c r="F82" s="25"/>
      <c r="G82" s="25"/>
      <c r="H82" s="26"/>
    </row>
    <row r="83" spans="1:8">
      <c r="A83" s="126">
        <v>2022</v>
      </c>
      <c r="B83" s="101"/>
      <c r="C83" s="127">
        <f t="shared" si="1"/>
        <v>0</v>
      </c>
      <c r="D83" s="5"/>
      <c r="E83" s="5"/>
      <c r="F83" s="5"/>
      <c r="G83" s="5"/>
      <c r="H83" s="19"/>
    </row>
    <row r="84" spans="1:8" s="49" customFormat="1">
      <c r="A84" s="50">
        <v>2023</v>
      </c>
      <c r="B84" s="51"/>
      <c r="C84" s="52">
        <f t="shared" si="1"/>
        <v>0</v>
      </c>
      <c r="D84" s="25"/>
      <c r="E84" s="25"/>
      <c r="F84" s="25"/>
      <c r="G84" s="25"/>
      <c r="H84" s="26"/>
    </row>
    <row r="85" spans="1:8">
      <c r="A85" s="126">
        <v>2024</v>
      </c>
      <c r="B85" s="101"/>
      <c r="C85" s="127">
        <f t="shared" ref="C85:C87" si="2">B85*MCF*DOC*DOCF*F*(16/12)*(EXP(-k*($A$87-A85-1))-EXP(-k*($A$87-A85)))</f>
        <v>0</v>
      </c>
      <c r="D85" s="5"/>
      <c r="E85" s="5"/>
      <c r="F85" s="5"/>
      <c r="G85" s="5"/>
      <c r="H85" s="19"/>
    </row>
    <row r="86" spans="1:8" s="49" customFormat="1">
      <c r="A86" s="50">
        <v>2025</v>
      </c>
      <c r="B86" s="51"/>
      <c r="C86" s="52">
        <f t="shared" si="2"/>
        <v>0</v>
      </c>
      <c r="D86" s="25"/>
      <c r="E86" s="25"/>
      <c r="F86" s="25"/>
      <c r="G86" s="25"/>
      <c r="H86" s="26"/>
    </row>
    <row r="87" spans="1:8">
      <c r="A87" s="128">
        <v>2026</v>
      </c>
      <c r="B87" s="106"/>
      <c r="C87" s="129">
        <f t="shared" si="2"/>
        <v>0</v>
      </c>
      <c r="D87" s="5"/>
      <c r="E87" s="5"/>
      <c r="F87" s="5"/>
      <c r="G87" s="5"/>
      <c r="H87" s="19"/>
    </row>
    <row r="88" spans="1:8" ht="15.6">
      <c r="A88" s="285"/>
      <c r="B88" s="244" t="s">
        <v>56</v>
      </c>
      <c r="C88" s="244">
        <f>SUM(C21:C87)</f>
        <v>0</v>
      </c>
      <c r="D88" s="409" t="s">
        <v>57</v>
      </c>
      <c r="E88" s="410"/>
      <c r="F88" s="411"/>
      <c r="G88" s="5"/>
      <c r="H88" s="19"/>
    </row>
    <row r="89" spans="1:8" ht="15" thickBot="1">
      <c r="A89" s="1"/>
      <c r="B89" s="249"/>
      <c r="C89" s="291"/>
      <c r="D89" s="247"/>
      <c r="E89" s="247"/>
      <c r="F89" s="247"/>
      <c r="G89" s="5"/>
      <c r="H89" s="19"/>
    </row>
    <row r="90" spans="1:8" ht="15" thickBot="1">
      <c r="A90" s="286"/>
      <c r="B90" s="290" t="s">
        <v>58</v>
      </c>
      <c r="C90" s="275"/>
      <c r="D90" s="287"/>
      <c r="E90" s="287"/>
      <c r="F90" s="289"/>
      <c r="G90" s="25"/>
      <c r="H90" s="19"/>
    </row>
    <row r="91" spans="1:8">
      <c r="A91" s="286"/>
      <c r="B91" s="277" t="s">
        <v>59</v>
      </c>
      <c r="C91" s="83" t="str">
        <f>IFERROR((VLOOKUP(C90,Table4[#All],3,FALSE))," ")</f>
        <v xml:space="preserve"> </v>
      </c>
      <c r="D91" s="288"/>
      <c r="E91" s="22"/>
      <c r="F91" s="83"/>
      <c r="G91" s="25"/>
      <c r="H91" s="19"/>
    </row>
    <row r="92" spans="1:8">
      <c r="A92" s="285"/>
      <c r="B92" s="85" t="s">
        <v>60</v>
      </c>
      <c r="C92" s="244" t="str">
        <f>IFERROR((C88*(1-C91))," ")</f>
        <v xml:space="preserve"> </v>
      </c>
      <c r="D92" s="412" t="s">
        <v>61</v>
      </c>
      <c r="E92" s="412"/>
      <c r="F92" s="413"/>
      <c r="G92" s="5"/>
      <c r="H92" s="19"/>
    </row>
    <row r="93" spans="1:8" s="49" customFormat="1" ht="15" thickBot="1">
      <c r="A93" s="24"/>
      <c r="B93" s="25"/>
      <c r="C93" s="291"/>
      <c r="D93" s="247"/>
      <c r="E93" s="70"/>
      <c r="F93" s="70"/>
      <c r="G93" s="25"/>
      <c r="H93" s="26"/>
    </row>
    <row r="94" spans="1:8" ht="15" thickBot="1">
      <c r="A94" s="1"/>
      <c r="B94" s="292" t="s">
        <v>62</v>
      </c>
      <c r="C94" s="276"/>
      <c r="D94" s="414" t="s">
        <v>63</v>
      </c>
      <c r="E94" s="415"/>
      <c r="F94" s="416"/>
      <c r="G94" s="5"/>
      <c r="H94" s="19"/>
    </row>
    <row r="95" spans="1:8">
      <c r="A95" s="1"/>
      <c r="B95" s="85" t="s">
        <v>64</v>
      </c>
      <c r="C95" s="85" t="str">
        <f>IFERROR(((C92-C94)*84), " ")</f>
        <v xml:space="preserve"> </v>
      </c>
      <c r="D95" s="417" t="s">
        <v>65</v>
      </c>
      <c r="E95" s="412"/>
      <c r="F95" s="413"/>
      <c r="G95" s="5"/>
      <c r="H95" s="19"/>
    </row>
    <row r="96" spans="1:8" ht="15" thickBot="1">
      <c r="A96" s="407"/>
      <c r="B96" s="408"/>
      <c r="C96" s="408"/>
      <c r="D96" s="408"/>
      <c r="E96" s="408"/>
      <c r="F96" s="408"/>
      <c r="G96" s="408"/>
      <c r="H96" s="31"/>
    </row>
  </sheetData>
  <sheetProtection algorithmName="SHA-512" hashValue="lrEDpa6/q+GK+hN1XLoXQ27S2pNLHYbgrZTc+6oFpttjnzJ/VlfsiyYSQkc7i3wW7sGvixRpv5VqzOYChoLyUA==" saltValue="q4DcdO2AvORxR3q4f8p3rw==" spinCount="100000" sheet="1" objects="1" scenarios="1"/>
  <mergeCells count="20">
    <mergeCell ref="A1:H1"/>
    <mergeCell ref="A96:G96"/>
    <mergeCell ref="D88:F88"/>
    <mergeCell ref="D92:F92"/>
    <mergeCell ref="D94:F94"/>
    <mergeCell ref="D95:F95"/>
    <mergeCell ref="A15:H15"/>
    <mergeCell ref="A16:H16"/>
    <mergeCell ref="A17:H17"/>
    <mergeCell ref="A18:H18"/>
    <mergeCell ref="A3:H3"/>
    <mergeCell ref="A4:H4"/>
    <mergeCell ref="A5:H5"/>
    <mergeCell ref="A6:H6"/>
    <mergeCell ref="A14:H14"/>
    <mergeCell ref="A8:H8"/>
    <mergeCell ref="A9:H9"/>
    <mergeCell ref="A10:H10"/>
    <mergeCell ref="A11:H11"/>
    <mergeCell ref="A12:H12"/>
  </mergeCells>
  <hyperlinks>
    <hyperlink ref="B90" location="'Landfill Cover Types'!A1" display="select type of landfill cover" xr:uid="{8FDDF9F7-3DCB-456C-9DAD-804F78E282A2}"/>
    <hyperlink ref="A2" location="'Table of Contents'!A1" display="return to table of contents" xr:uid="{0CC2FDFC-4D20-48BA-97E5-4E870923F9B1}"/>
  </hyperlink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F12C118-D2AA-4D4E-9AC4-358D4C99ABFD}">
          <x14:formula1>
            <xm:f>'Landfill Cover Types'!$A$6:$A$11</xm:f>
          </x14:formula1>
          <xm:sqref>C90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DE32-14C3-4CEC-B1F1-99E00AC7A0F5}">
  <dimension ref="A1:H116"/>
  <sheetViews>
    <sheetView showGridLines="0" topLeftCell="A11" zoomScaleNormal="100" workbookViewId="0">
      <selection activeCell="D38" sqref="D38"/>
    </sheetView>
  </sheetViews>
  <sheetFormatPr defaultRowHeight="14.45"/>
  <cols>
    <col min="1" max="1" width="29.140625" customWidth="1"/>
    <col min="2" max="2" width="31.7109375" customWidth="1"/>
    <col min="3" max="3" width="35.7109375" customWidth="1"/>
    <col min="4" max="4" width="22.140625" customWidth="1"/>
    <col min="5" max="5" width="21.42578125" customWidth="1"/>
    <col min="6" max="6" width="21.42578125" style="5" customWidth="1"/>
    <col min="7" max="7" width="9.140625" style="5"/>
  </cols>
  <sheetData>
    <row r="1" spans="1:8" ht="54" customHeight="1">
      <c r="A1" s="430" t="s">
        <v>66</v>
      </c>
      <c r="B1" s="431"/>
      <c r="C1" s="431"/>
      <c r="D1" s="431"/>
      <c r="E1" s="431"/>
      <c r="F1" s="432"/>
    </row>
    <row r="2" spans="1:8" ht="18" customHeight="1">
      <c r="A2" s="134" t="s">
        <v>18</v>
      </c>
      <c r="B2" s="37"/>
      <c r="C2" s="37"/>
      <c r="D2" s="37"/>
      <c r="E2" s="37"/>
      <c r="F2" s="338"/>
    </row>
    <row r="3" spans="1:8" ht="18">
      <c r="A3" s="274" t="s">
        <v>19</v>
      </c>
      <c r="B3" s="343"/>
      <c r="C3" s="343"/>
      <c r="D3" s="343"/>
      <c r="E3" s="117"/>
      <c r="F3" s="118"/>
    </row>
    <row r="4" spans="1:8" ht="48" customHeight="1">
      <c r="A4" s="433" t="s">
        <v>37</v>
      </c>
      <c r="B4" s="402"/>
      <c r="C4" s="402"/>
      <c r="D4" s="402"/>
      <c r="E4" s="402"/>
      <c r="F4" s="434"/>
      <c r="H4" s="23"/>
    </row>
    <row r="5" spans="1:8" ht="48" customHeight="1">
      <c r="A5" s="433" t="s">
        <v>67</v>
      </c>
      <c r="B5" s="402"/>
      <c r="C5" s="402"/>
      <c r="D5" s="402"/>
      <c r="E5" s="402"/>
      <c r="F5" s="434"/>
    </row>
    <row r="6" spans="1:8" ht="19.899999999999999" customHeight="1">
      <c r="A6" s="435" t="s">
        <v>39</v>
      </c>
      <c r="B6" s="405"/>
      <c r="C6" s="405"/>
      <c r="D6" s="405"/>
      <c r="E6" s="405"/>
      <c r="F6" s="436"/>
    </row>
    <row r="7" spans="1:8" ht="15" customHeight="1">
      <c r="A7" s="29"/>
      <c r="B7" s="30"/>
      <c r="C7" s="30"/>
      <c r="D7" s="30"/>
      <c r="E7" s="30"/>
      <c r="F7" s="339"/>
    </row>
    <row r="8" spans="1:8" ht="15" customHeight="1">
      <c r="A8" s="274" t="s">
        <v>22</v>
      </c>
      <c r="B8" s="119"/>
      <c r="C8" s="119"/>
      <c r="D8" s="119"/>
      <c r="E8" s="119"/>
      <c r="F8" s="342"/>
    </row>
    <row r="9" spans="1:8" ht="15" customHeight="1">
      <c r="A9" s="439" t="s">
        <v>68</v>
      </c>
      <c r="B9" s="399"/>
      <c r="C9" s="399"/>
      <c r="D9" s="399"/>
      <c r="E9" s="399"/>
      <c r="F9" s="440"/>
    </row>
    <row r="10" spans="1:8" ht="18.75" customHeight="1">
      <c r="A10" s="437" t="s">
        <v>69</v>
      </c>
      <c r="B10" s="419"/>
      <c r="C10" s="419"/>
      <c r="D10" s="419"/>
      <c r="E10" s="419"/>
      <c r="F10" s="438"/>
    </row>
    <row r="11" spans="1:8" ht="33.75" customHeight="1">
      <c r="A11" s="437" t="s">
        <v>70</v>
      </c>
      <c r="B11" s="419"/>
      <c r="C11" s="419"/>
      <c r="D11" s="419"/>
      <c r="E11" s="419"/>
      <c r="F11" s="438"/>
    </row>
    <row r="12" spans="1:8" ht="17.25" customHeight="1">
      <c r="A12" s="426" t="s">
        <v>71</v>
      </c>
      <c r="B12" s="391"/>
      <c r="C12" s="391"/>
      <c r="D12" s="391"/>
      <c r="E12" s="391"/>
      <c r="F12" s="427"/>
      <c r="H12" s="5"/>
    </row>
    <row r="13" spans="1:8" ht="17.25" customHeight="1">
      <c r="A13" s="426" t="s">
        <v>72</v>
      </c>
      <c r="B13" s="391"/>
      <c r="C13" s="391"/>
      <c r="D13" s="391"/>
      <c r="E13" s="391"/>
      <c r="F13" s="427"/>
    </row>
    <row r="14" spans="1:8" ht="20.25" customHeight="1">
      <c r="A14" s="428" t="s">
        <v>43</v>
      </c>
      <c r="B14" s="396"/>
      <c r="C14" s="396"/>
      <c r="D14" s="396"/>
      <c r="E14" s="396"/>
      <c r="F14" s="429"/>
    </row>
    <row r="15" spans="1:8" ht="20.25" customHeight="1">
      <c r="A15" s="38"/>
      <c r="B15" s="39"/>
      <c r="C15" s="39"/>
      <c r="D15" s="39"/>
      <c r="E15" s="39"/>
      <c r="F15" s="319"/>
    </row>
    <row r="16" spans="1:8" ht="20.25" customHeight="1" thickBot="1">
      <c r="A16" s="448" t="s">
        <v>68</v>
      </c>
      <c r="B16" s="448"/>
      <c r="C16" s="448"/>
      <c r="D16" s="448"/>
      <c r="E16" s="448"/>
      <c r="F16" s="449"/>
    </row>
    <row r="17" spans="1:6" ht="18.75" customHeight="1" thickBot="1">
      <c r="A17" s="311" t="s">
        <v>73</v>
      </c>
      <c r="B17" s="346"/>
      <c r="C17" s="316"/>
      <c r="D17" s="316"/>
      <c r="E17" s="316"/>
      <c r="F17" s="340"/>
    </row>
    <row r="18" spans="1:6" ht="18.75" customHeight="1">
      <c r="A18" s="39"/>
      <c r="B18" s="39"/>
      <c r="C18" s="316"/>
      <c r="D18" s="316"/>
      <c r="E18" s="316"/>
      <c r="F18" s="340"/>
    </row>
    <row r="19" spans="1:6" ht="18" customHeight="1">
      <c r="A19" s="312" t="s">
        <v>51</v>
      </c>
      <c r="B19" s="185">
        <v>1</v>
      </c>
      <c r="C19" s="316"/>
      <c r="D19" s="316"/>
      <c r="E19" s="316"/>
      <c r="F19" s="340"/>
    </row>
    <row r="20" spans="1:6" ht="18" customHeight="1">
      <c r="A20" s="312" t="s">
        <v>53</v>
      </c>
      <c r="B20" s="185">
        <v>0.5</v>
      </c>
      <c r="C20" s="316"/>
      <c r="D20" s="316"/>
      <c r="E20" s="316"/>
      <c r="F20" s="340"/>
    </row>
    <row r="21" spans="1:6" ht="18" customHeight="1">
      <c r="A21" s="312" t="s">
        <v>54</v>
      </c>
      <c r="B21" s="185">
        <v>0.5</v>
      </c>
      <c r="C21" s="316"/>
      <c r="D21" s="316"/>
      <c r="E21" s="316"/>
      <c r="F21" s="340"/>
    </row>
    <row r="22" spans="1:6" ht="18.75" customHeight="1">
      <c r="A22" s="313" t="s">
        <v>74</v>
      </c>
      <c r="B22" s="314" t="str">
        <f>IFERROR(VLOOKUP(B17,Table14[#All],3,FALSE)," ")</f>
        <v xml:space="preserve"> </v>
      </c>
      <c r="C22" s="316"/>
      <c r="D22" s="316"/>
      <c r="E22" s="316"/>
      <c r="F22" s="340"/>
    </row>
    <row r="23" spans="1:6" ht="18" customHeight="1">
      <c r="A23" s="5"/>
      <c r="B23" s="5"/>
      <c r="C23" s="316"/>
      <c r="D23" s="316"/>
      <c r="E23" s="316"/>
      <c r="F23" s="340"/>
    </row>
    <row r="24" spans="1:6" ht="18" customHeight="1">
      <c r="A24" s="441" t="s">
        <v>75</v>
      </c>
      <c r="B24" s="442"/>
      <c r="C24" s="442"/>
      <c r="D24" s="442"/>
      <c r="E24" s="442"/>
      <c r="F24" s="340"/>
    </row>
    <row r="25" spans="1:6" ht="18" customHeight="1">
      <c r="A25" s="322" t="s">
        <v>76</v>
      </c>
      <c r="B25" s="322" t="s">
        <v>77</v>
      </c>
      <c r="C25" s="318" t="s">
        <v>78</v>
      </c>
      <c r="D25" s="316"/>
      <c r="E25" s="316"/>
      <c r="F25" s="340"/>
    </row>
    <row r="26" spans="1:6" ht="18" customHeight="1">
      <c r="A26" s="323"/>
      <c r="B26" s="325"/>
      <c r="C26" s="320" t="str">
        <f>IFERROR(VLOOKUP('Industrial Landfills'!A26,Table14[#All],2,FALSE), " ")</f>
        <v xml:space="preserve"> </v>
      </c>
      <c r="D26" s="316"/>
      <c r="E26" s="316"/>
      <c r="F26" s="340"/>
    </row>
    <row r="27" spans="1:6" ht="18" customHeight="1">
      <c r="A27" s="324"/>
      <c r="B27" s="326"/>
      <c r="C27" s="321" t="str">
        <f>IFERROR(VLOOKUP('Industrial Landfills'!A27,Table14[#All],2,FALSE), " ")</f>
        <v xml:space="preserve"> </v>
      </c>
      <c r="D27" s="316"/>
      <c r="E27" s="316"/>
      <c r="F27" s="340"/>
    </row>
    <row r="28" spans="1:6" ht="18" customHeight="1">
      <c r="A28" s="323"/>
      <c r="B28" s="325"/>
      <c r="C28" s="320" t="str">
        <f>IFERROR(VLOOKUP('Industrial Landfills'!A28,Table14[#All],2,FALSE), " ")</f>
        <v xml:space="preserve"> </v>
      </c>
      <c r="D28" s="316"/>
      <c r="E28" s="316"/>
      <c r="F28" s="340"/>
    </row>
    <row r="29" spans="1:6" ht="18" customHeight="1">
      <c r="A29" s="324"/>
      <c r="B29" s="326"/>
      <c r="C29" s="321"/>
      <c r="D29" s="316"/>
      <c r="E29" s="316"/>
      <c r="F29" s="340"/>
    </row>
    <row r="30" spans="1:6" ht="18" customHeight="1">
      <c r="A30" s="323"/>
      <c r="B30" s="325"/>
      <c r="C30" s="320" t="str">
        <f>IFERROR(VLOOKUP('Industrial Landfills'!A30,Table14[#All],2,FALSE), " ")</f>
        <v xml:space="preserve"> </v>
      </c>
      <c r="D30" s="316"/>
      <c r="E30" s="316"/>
      <c r="F30" s="340"/>
    </row>
    <row r="31" spans="1:6" ht="18" customHeight="1">
      <c r="A31" s="324"/>
      <c r="B31" s="326"/>
      <c r="C31" s="321" t="str">
        <f>IFERROR(VLOOKUP('Industrial Landfills'!A31,Table14[#All],2,FALSE), " ")</f>
        <v xml:space="preserve"> </v>
      </c>
      <c r="D31" s="316"/>
      <c r="E31" s="316"/>
      <c r="F31" s="340"/>
    </row>
    <row r="32" spans="1:6" ht="18" customHeight="1">
      <c r="A32" s="323"/>
      <c r="B32" s="325"/>
      <c r="C32" s="320"/>
      <c r="D32" s="316"/>
      <c r="E32" s="316"/>
      <c r="F32" s="340"/>
    </row>
    <row r="33" spans="1:8" ht="18" customHeight="1">
      <c r="A33" s="324"/>
      <c r="B33" s="326"/>
      <c r="C33" s="321" t="str">
        <f>IFERROR(VLOOKUP('Industrial Landfills'!A33,Table14[#All],2,FALSE), " ")</f>
        <v xml:space="preserve"> </v>
      </c>
      <c r="D33" s="316"/>
      <c r="E33" s="316"/>
      <c r="F33" s="340"/>
    </row>
    <row r="34" spans="1:8" ht="18" customHeight="1" thickBot="1">
      <c r="A34" s="323"/>
      <c r="B34" s="325"/>
      <c r="C34" s="320"/>
      <c r="D34" s="316"/>
      <c r="E34" s="316"/>
      <c r="F34" s="340"/>
    </row>
    <row r="35" spans="1:8" ht="18" customHeight="1" thickBot="1">
      <c r="A35" s="327" t="s">
        <v>79</v>
      </c>
      <c r="B35" s="335">
        <f>SUM(B26:B34)</f>
        <v>0</v>
      </c>
      <c r="C35" s="336" t="str">
        <f>IFERROR((SUMPRODUCT(B26:B34,C26:C34)/B35), " ")</f>
        <v xml:space="preserve"> </v>
      </c>
      <c r="D35" s="316"/>
      <c r="E35" s="316"/>
      <c r="F35" s="340"/>
    </row>
    <row r="36" spans="1:8" ht="18" customHeight="1">
      <c r="A36" s="315"/>
      <c r="B36" s="316"/>
      <c r="C36" s="316"/>
      <c r="D36" s="316"/>
      <c r="E36" s="316"/>
      <c r="F36" s="340"/>
    </row>
    <row r="37" spans="1:8" ht="18" customHeight="1">
      <c r="A37" s="441" t="s">
        <v>80</v>
      </c>
      <c r="B37" s="442"/>
      <c r="C37" s="442"/>
      <c r="D37" s="442"/>
      <c r="E37" s="442"/>
      <c r="F37" s="443"/>
    </row>
    <row r="38" spans="1:8" ht="33.6" customHeight="1">
      <c r="A38" s="120" t="s">
        <v>48</v>
      </c>
      <c r="B38" s="121" t="s">
        <v>49</v>
      </c>
      <c r="C38" s="309" t="s">
        <v>81</v>
      </c>
      <c r="D38" s="240" t="s">
        <v>78</v>
      </c>
      <c r="E38" s="122" t="s">
        <v>50</v>
      </c>
      <c r="F38" s="341"/>
      <c r="G38" s="20"/>
      <c r="H38" s="20"/>
    </row>
    <row r="39" spans="1:8">
      <c r="A39" s="126">
        <v>1960</v>
      </c>
      <c r="B39" s="101"/>
      <c r="C39" s="237"/>
      <c r="D39" s="102" t="str">
        <f>IFERROR(VLOOKUP(Table213[[#This Row],[Type of Waste Disposed]],Table14[],2,FALSE)," ")</f>
        <v xml:space="preserve"> </v>
      </c>
      <c r="E39" s="127">
        <f>IFERROR(B39*MCF*Table213[[#This Row],[DOCx]]*DOCF*F*(16/12)*(EXP(-$B$22*($A$105-A39-1))-EXP(-$B$22*($A$105-A39))), 0)</f>
        <v>0</v>
      </c>
      <c r="F39" s="243"/>
      <c r="H39" s="5"/>
    </row>
    <row r="40" spans="1:8">
      <c r="A40" s="50">
        <v>1961</v>
      </c>
      <c r="B40" s="51"/>
      <c r="C40" s="238"/>
      <c r="D40" s="241" t="str">
        <f>IFERROR(VLOOKUP(Table213[[#This Row],[Type of Waste Disposed]],Table14[],2,FALSE)," ")</f>
        <v xml:space="preserve"> </v>
      </c>
      <c r="E40" s="52">
        <f>IFERROR(B40*MCF*Table213[[#This Row],[DOCx]]*DOCF*F*(16/12)*(EXP(-$B$22*($A$105-A40-1))-EXP(-$B$22*($A$105-A40))), 0)</f>
        <v>0</v>
      </c>
      <c r="F40" s="243"/>
      <c r="H40" s="5"/>
    </row>
    <row r="41" spans="1:8">
      <c r="A41" s="126">
        <v>1962</v>
      </c>
      <c r="B41" s="101"/>
      <c r="C41" s="237"/>
      <c r="D41" s="102" t="str">
        <f>IFERROR(VLOOKUP(Table213[[#This Row],[Type of Waste Disposed]],Table14[],2,FALSE)," ")</f>
        <v xml:space="preserve"> </v>
      </c>
      <c r="E41" s="127">
        <f>IFERROR(B41*MCF*Table213[[#This Row],[DOCx]]*DOCF*F*(16/12)*(EXP(-$B$22*($A$105-A41-1))-EXP(-$B$22*($A$105-A41))), 0)</f>
        <v>0</v>
      </c>
      <c r="F41" s="243"/>
      <c r="H41" s="5"/>
    </row>
    <row r="42" spans="1:8">
      <c r="A42" s="50">
        <v>1963</v>
      </c>
      <c r="B42" s="8"/>
      <c r="C42" s="238"/>
      <c r="D42" s="241" t="str">
        <f>IFERROR(VLOOKUP(Table213[[#This Row],[Type of Waste Disposed]],Table14[],2,FALSE)," ")</f>
        <v xml:space="preserve"> </v>
      </c>
      <c r="E42" s="52">
        <f>IFERROR(B42*MCF*Table213[[#This Row],[DOCx]]*DOCF*F*(16/12)*(EXP(-$B$22*($A$105-A42-1))-EXP(-$B$22*($A$105-A42))), 0)</f>
        <v>0</v>
      </c>
      <c r="F42" s="243"/>
    </row>
    <row r="43" spans="1:8">
      <c r="A43" s="126">
        <v>1964</v>
      </c>
      <c r="B43" s="101"/>
      <c r="C43" s="237"/>
      <c r="D43" s="102" t="str">
        <f>IFERROR(VLOOKUP(Table213[[#This Row],[Type of Waste Disposed]],Table14[],2,FALSE)," ")</f>
        <v xml:space="preserve"> </v>
      </c>
      <c r="E43" s="127">
        <f>IFERROR(B43*MCF*Table213[[#This Row],[DOCx]]*DOCF*F*(16/12)*(EXP(-$B$22*($A$105-A43-1))-EXP(-$B$22*($A$105-A43))), 0)</f>
        <v>0</v>
      </c>
      <c r="F43" s="243"/>
    </row>
    <row r="44" spans="1:8">
      <c r="A44" s="50">
        <v>1965</v>
      </c>
      <c r="B44" s="51"/>
      <c r="C44" s="238"/>
      <c r="D44" s="241" t="str">
        <f>IFERROR(VLOOKUP(Table213[[#This Row],[Type of Waste Disposed]],Table14[],2,FALSE)," ")</f>
        <v xml:space="preserve"> </v>
      </c>
      <c r="E44" s="52">
        <f>IFERROR(B44*MCF*Table213[[#This Row],[DOCx]]*DOCF*F*(16/12)*(EXP(-$B$22*($A$105-A44-1))-EXP(-$B$22*($A$105-A44))), 0)</f>
        <v>0</v>
      </c>
      <c r="F44" s="243"/>
    </row>
    <row r="45" spans="1:8">
      <c r="A45" s="126">
        <v>1966</v>
      </c>
      <c r="B45" s="101"/>
      <c r="C45" s="237"/>
      <c r="D45" s="102" t="str">
        <f>IFERROR(VLOOKUP(Table213[[#This Row],[Type of Waste Disposed]],Table14[],2,FALSE)," ")</f>
        <v xml:space="preserve"> </v>
      </c>
      <c r="E45" s="127">
        <f>IFERROR(B45*MCF*Table213[[#This Row],[DOCx]]*DOCF*F*(16/12)*(EXP(-$B$22*($A$105-A45-1))-EXP(-$B$22*($A$105-A45))), 0)</f>
        <v>0</v>
      </c>
      <c r="F45" s="243"/>
    </row>
    <row r="46" spans="1:8">
      <c r="A46" s="50">
        <v>1967</v>
      </c>
      <c r="B46" s="51"/>
      <c r="C46" s="238"/>
      <c r="D46" s="241" t="str">
        <f>IFERROR(VLOOKUP(Table213[[#This Row],[Type of Waste Disposed]],Table14[],2,FALSE)," ")</f>
        <v xml:space="preserve"> </v>
      </c>
      <c r="E46" s="52">
        <f>IFERROR(B46*MCF*Table213[[#This Row],[DOCx]]*DOCF*F*(16/12)*(EXP(-$B$22*($A$105-A46-1))-EXP(-$B$22*($A$105-A46))), 0)</f>
        <v>0</v>
      </c>
      <c r="F46" s="243"/>
    </row>
    <row r="47" spans="1:8">
      <c r="A47" s="126">
        <v>1968</v>
      </c>
      <c r="B47" s="101"/>
      <c r="C47" s="237"/>
      <c r="D47" s="102" t="str">
        <f>IFERROR(VLOOKUP(Table213[[#This Row],[Type of Waste Disposed]],Table14[],2,FALSE)," ")</f>
        <v xml:space="preserve"> </v>
      </c>
      <c r="E47" s="127">
        <f>IFERROR(B47*MCF*Table213[[#This Row],[DOCx]]*DOCF*F*(16/12)*(EXP(-$B$22*($A$105-A47-1))-EXP(-$B$22*($A$105-A47))), 0)</f>
        <v>0</v>
      </c>
      <c r="F47" s="243"/>
    </row>
    <row r="48" spans="1:8">
      <c r="A48" s="50">
        <v>1969</v>
      </c>
      <c r="B48" s="51"/>
      <c r="C48" s="238"/>
      <c r="D48" s="241" t="str">
        <f>IFERROR(VLOOKUP(Table213[[#This Row],[Type of Waste Disposed]],Table14[],2,FALSE)," ")</f>
        <v xml:space="preserve"> </v>
      </c>
      <c r="E48" s="52">
        <f>IFERROR(B48*MCF*Table213[[#This Row],[DOCx]]*DOCF*F*(16/12)*(EXP(-$B$22*($A$105-A48-1))-EXP(-$B$22*($A$105-A48))), 0)</f>
        <v>0</v>
      </c>
      <c r="F48" s="243"/>
    </row>
    <row r="49" spans="1:7">
      <c r="A49" s="126">
        <v>1970</v>
      </c>
      <c r="B49" s="101"/>
      <c r="C49" s="237"/>
      <c r="D49" s="102" t="str">
        <f>IFERROR(VLOOKUP(Table213[[#This Row],[Type of Waste Disposed]],Table14[],2,FALSE)," ")</f>
        <v xml:space="preserve"> </v>
      </c>
      <c r="E49" s="127">
        <f>IFERROR(B49*MCF*Table213[[#This Row],[DOCx]]*DOCF*F*(16/12)*(EXP(-$B$22*($A$105-A49-1))-EXP(-$B$22*($A$105-A49))), 0)</f>
        <v>0</v>
      </c>
      <c r="F49" s="243"/>
    </row>
    <row r="50" spans="1:7">
      <c r="A50" s="50">
        <v>1971</v>
      </c>
      <c r="B50" s="51"/>
      <c r="C50" s="238"/>
      <c r="D50" s="241" t="str">
        <f>IFERROR(VLOOKUP(Table213[[#This Row],[Type of Waste Disposed]],Table14[],2,FALSE)," ")</f>
        <v xml:space="preserve"> </v>
      </c>
      <c r="E50" s="52">
        <f>IFERROR(B50*MCF*Table213[[#This Row],[DOCx]]*DOCF*F*(16/12)*(EXP(-$B$22*($A$105-A50-1))-EXP(-$B$22*($A$105-A50))), 0)</f>
        <v>0</v>
      </c>
      <c r="F50" s="243"/>
    </row>
    <row r="51" spans="1:7">
      <c r="A51" s="126">
        <v>1972</v>
      </c>
      <c r="B51" s="101"/>
      <c r="C51" s="237"/>
      <c r="D51" s="102" t="str">
        <f>IFERROR(VLOOKUP(Table213[[#This Row],[Type of Waste Disposed]],Table14[],2,FALSE)," ")</f>
        <v xml:space="preserve"> </v>
      </c>
      <c r="E51" s="127">
        <f>IFERROR(B51*MCF*Table213[[#This Row],[DOCx]]*DOCF*F*(16/12)*(EXP(-$B$22*($A$105-A51-1))-EXP(-$B$22*($A$105-A51))), 0)</f>
        <v>0</v>
      </c>
      <c r="F51" s="243"/>
    </row>
    <row r="52" spans="1:7" s="49" customFormat="1">
      <c r="A52" s="50">
        <v>1973</v>
      </c>
      <c r="B52" s="51"/>
      <c r="C52" s="238"/>
      <c r="D52" s="241" t="str">
        <f>IFERROR(VLOOKUP(Table213[[#This Row],[Type of Waste Disposed]],Table14[],2,FALSE)," ")</f>
        <v xml:space="preserve"> </v>
      </c>
      <c r="E52" s="52">
        <f>IFERROR(B52*MCF*Table213[[#This Row],[DOCx]]*DOCF*F*(16/12)*(EXP(-$B$22*($A$105-A52-1))-EXP(-$B$22*($A$105-A52))), 0)</f>
        <v>0</v>
      </c>
      <c r="F52" s="84"/>
      <c r="G52" s="25"/>
    </row>
    <row r="53" spans="1:7">
      <c r="A53" s="126">
        <v>1974</v>
      </c>
      <c r="B53" s="101"/>
      <c r="C53" s="237"/>
      <c r="D53" s="102" t="str">
        <f>IFERROR(VLOOKUP(Table213[[#This Row],[Type of Waste Disposed]],Table14[],2,FALSE)," ")</f>
        <v xml:space="preserve"> </v>
      </c>
      <c r="E53" s="127">
        <f>IFERROR(B53*MCF*Table213[[#This Row],[DOCx]]*DOCF*F*(16/12)*(EXP(-$B$22*($A$105-A53-1))-EXP(-$B$22*($A$105-A53))), 0)</f>
        <v>0</v>
      </c>
      <c r="F53" s="243"/>
    </row>
    <row r="54" spans="1:7" s="49" customFormat="1">
      <c r="A54" s="50">
        <v>1975</v>
      </c>
      <c r="B54" s="51"/>
      <c r="C54" s="238"/>
      <c r="D54" s="241" t="str">
        <f>IFERROR(VLOOKUP(Table213[[#This Row],[Type of Waste Disposed]],Table14[],2,FALSE)," ")</f>
        <v xml:space="preserve"> </v>
      </c>
      <c r="E54" s="52">
        <f>IFERROR(B54*MCF*Table213[[#This Row],[DOCx]]*DOCF*F*(16/12)*(EXP(-$B$22*($A$105-A54-1))-EXP(-$B$22*($A$105-A54))), 0)</f>
        <v>0</v>
      </c>
      <c r="F54" s="84"/>
      <c r="G54" s="25"/>
    </row>
    <row r="55" spans="1:7">
      <c r="A55" s="126">
        <v>1976</v>
      </c>
      <c r="B55" s="101"/>
      <c r="C55" s="237"/>
      <c r="D55" s="102" t="str">
        <f>IFERROR(VLOOKUP(Table213[[#This Row],[Type of Waste Disposed]],Table14[],2,FALSE)," ")</f>
        <v xml:space="preserve"> </v>
      </c>
      <c r="E55" s="127">
        <f>IFERROR(B55*MCF*Table213[[#This Row],[DOCx]]*DOCF*F*(16/12)*(EXP(-$B$22*($A$105-A55-1))-EXP(-$B$22*($A$105-A55))), 0)</f>
        <v>0</v>
      </c>
      <c r="F55" s="243"/>
    </row>
    <row r="56" spans="1:7" s="49" customFormat="1">
      <c r="A56" s="50">
        <v>1977</v>
      </c>
      <c r="B56" s="51"/>
      <c r="C56" s="238"/>
      <c r="D56" s="241" t="str">
        <f>IFERROR(VLOOKUP(Table213[[#This Row],[Type of Waste Disposed]],Table14[],2,FALSE)," ")</f>
        <v xml:space="preserve"> </v>
      </c>
      <c r="E56" s="52">
        <f>IFERROR(B56*MCF*Table213[[#This Row],[DOCx]]*DOCF*F*(16/12)*(EXP(-$B$22*($A$105-A56-1))-EXP(-$B$22*($A$105-A56))), 0)</f>
        <v>0</v>
      </c>
      <c r="F56" s="84"/>
      <c r="G56" s="25"/>
    </row>
    <row r="57" spans="1:7">
      <c r="A57" s="126">
        <v>1978</v>
      </c>
      <c r="B57" s="101"/>
      <c r="C57" s="237"/>
      <c r="D57" s="102" t="str">
        <f>IFERROR(VLOOKUP(Table213[[#This Row],[Type of Waste Disposed]],Table14[],2,FALSE)," ")</f>
        <v xml:space="preserve"> </v>
      </c>
      <c r="E57" s="127">
        <f>IFERROR(B57*MCF*Table213[[#This Row],[DOCx]]*DOCF*F*(16/12)*(EXP(-$B$22*($A$105-A57-1))-EXP(-$B$22*($A$105-A57))), 0)</f>
        <v>0</v>
      </c>
      <c r="F57" s="243"/>
    </row>
    <row r="58" spans="1:7" s="49" customFormat="1">
      <c r="A58" s="50">
        <v>1979</v>
      </c>
      <c r="B58" s="51"/>
      <c r="C58" s="238"/>
      <c r="D58" s="241" t="str">
        <f>IFERROR(VLOOKUP(Table213[[#This Row],[Type of Waste Disposed]],Table14[],2,FALSE)," ")</f>
        <v xml:space="preserve"> </v>
      </c>
      <c r="E58" s="52">
        <f>IFERROR(B58*MCF*Table213[[#This Row],[DOCx]]*DOCF*F*(16/12)*(EXP(-$B$22*($A$105-A58-1))-EXP(-$B$22*($A$105-A58))), 0)</f>
        <v>0</v>
      </c>
      <c r="F58" s="84"/>
      <c r="G58" s="25"/>
    </row>
    <row r="59" spans="1:7">
      <c r="A59" s="126">
        <v>1980</v>
      </c>
      <c r="B59" s="101"/>
      <c r="C59" s="237"/>
      <c r="D59" s="102" t="str">
        <f>IFERROR(VLOOKUP(Table213[[#This Row],[Type of Waste Disposed]],Table14[],2,FALSE)," ")</f>
        <v xml:space="preserve"> </v>
      </c>
      <c r="E59" s="127">
        <f>IFERROR(B59*MCF*Table213[[#This Row],[DOCx]]*DOCF*F*(16/12)*(EXP(-$B$22*($A$105-A59-1))-EXP(-$B$22*($A$105-A59))), 0)</f>
        <v>0</v>
      </c>
      <c r="F59" s="243"/>
    </row>
    <row r="60" spans="1:7" s="49" customFormat="1">
      <c r="A60" s="50">
        <v>1981</v>
      </c>
      <c r="B60" s="51"/>
      <c r="C60" s="238"/>
      <c r="D60" s="241" t="str">
        <f>IFERROR(VLOOKUP(Table213[[#This Row],[Type of Waste Disposed]],Table14[],2,FALSE)," ")</f>
        <v xml:space="preserve"> </v>
      </c>
      <c r="E60" s="52">
        <f>IFERROR(B60*MCF*Table213[[#This Row],[DOCx]]*DOCF*F*(16/12)*(EXP(-$B$22*($A$105-A60-1))-EXP(-$B$22*($A$105-A60))), 0)</f>
        <v>0</v>
      </c>
      <c r="F60" s="84"/>
      <c r="G60" s="25"/>
    </row>
    <row r="61" spans="1:7">
      <c r="A61" s="126">
        <v>1982</v>
      </c>
      <c r="B61" s="101"/>
      <c r="C61" s="237"/>
      <c r="D61" s="102" t="str">
        <f>IFERROR(VLOOKUP(Table213[[#This Row],[Type of Waste Disposed]],Table14[],2,FALSE)," ")</f>
        <v xml:space="preserve"> </v>
      </c>
      <c r="E61" s="127">
        <f>IFERROR(B61*MCF*Table213[[#This Row],[DOCx]]*DOCF*F*(16/12)*(EXP(-$B$22*($A$105-A61-1))-EXP(-$B$22*($A$105-A61))), 0)</f>
        <v>0</v>
      </c>
      <c r="F61" s="243"/>
    </row>
    <row r="62" spans="1:7" s="49" customFormat="1">
      <c r="A62" s="50">
        <v>1983</v>
      </c>
      <c r="B62" s="51"/>
      <c r="C62" s="238"/>
      <c r="D62" s="241" t="str">
        <f>IFERROR(VLOOKUP(Table213[[#This Row],[Type of Waste Disposed]],Table14[],2,FALSE)," ")</f>
        <v xml:space="preserve"> </v>
      </c>
      <c r="E62" s="52">
        <f>IFERROR(B62*MCF*Table213[[#This Row],[DOCx]]*DOCF*F*(16/12)*(EXP(-$B$22*($A$105-A62-1))-EXP(-$B$22*($A$105-A62))), 0)</f>
        <v>0</v>
      </c>
      <c r="F62" s="84"/>
      <c r="G62" s="25"/>
    </row>
    <row r="63" spans="1:7">
      <c r="A63" s="126">
        <v>1984</v>
      </c>
      <c r="B63" s="101"/>
      <c r="C63" s="237"/>
      <c r="D63" s="102" t="str">
        <f>IFERROR(VLOOKUP(Table213[[#This Row],[Type of Waste Disposed]],Table14[],2,FALSE)," ")</f>
        <v xml:space="preserve"> </v>
      </c>
      <c r="E63" s="127">
        <f>IFERROR(B63*MCF*Table213[[#This Row],[DOCx]]*DOCF*F*(16/12)*(EXP(-$B$22*($A$105-A63-1))-EXP(-$B$22*($A$105-A63))), 0)</f>
        <v>0</v>
      </c>
      <c r="F63" s="243"/>
    </row>
    <row r="64" spans="1:7" s="49" customFormat="1">
      <c r="A64" s="50">
        <v>1985</v>
      </c>
      <c r="B64" s="51"/>
      <c r="C64" s="238"/>
      <c r="D64" s="241" t="str">
        <f>IFERROR(VLOOKUP(Table213[[#This Row],[Type of Waste Disposed]],Table14[],2,FALSE)," ")</f>
        <v xml:space="preserve"> </v>
      </c>
      <c r="E64" s="52">
        <f>IFERROR(B64*MCF*Table213[[#This Row],[DOCx]]*DOCF*F*(16/12)*(EXP(-$B$22*($A$105-A64-1))-EXP(-$B$22*($A$105-A64))), 0)</f>
        <v>0</v>
      </c>
      <c r="F64" s="84"/>
      <c r="G64" s="25"/>
    </row>
    <row r="65" spans="1:7">
      <c r="A65" s="126">
        <v>1986</v>
      </c>
      <c r="B65" s="101"/>
      <c r="C65" s="237"/>
      <c r="D65" s="102" t="str">
        <f>IFERROR(VLOOKUP(Table213[[#This Row],[Type of Waste Disposed]],Table14[],2,FALSE)," ")</f>
        <v xml:space="preserve"> </v>
      </c>
      <c r="E65" s="127">
        <f>IFERROR(B65*MCF*Table213[[#This Row],[DOCx]]*DOCF*F*(16/12)*(EXP(-$B$22*($A$105-A65-1))-EXP(-$B$22*($A$105-A65))), 0)</f>
        <v>0</v>
      </c>
      <c r="F65" s="243"/>
    </row>
    <row r="66" spans="1:7" s="49" customFormat="1">
      <c r="A66" s="50">
        <v>1987</v>
      </c>
      <c r="B66" s="51"/>
      <c r="C66" s="238"/>
      <c r="D66" s="241" t="str">
        <f>IFERROR(VLOOKUP(Table213[[#This Row],[Type of Waste Disposed]],Table14[],2,FALSE)," ")</f>
        <v xml:space="preserve"> </v>
      </c>
      <c r="E66" s="52">
        <f>IFERROR(B66*MCF*Table213[[#This Row],[DOCx]]*DOCF*F*(16/12)*(EXP(-$B$22*($A$105-A66-1))-EXP(-$B$22*($A$105-A66))), 0)</f>
        <v>0</v>
      </c>
      <c r="F66" s="84"/>
      <c r="G66" s="25"/>
    </row>
    <row r="67" spans="1:7">
      <c r="A67" s="126">
        <v>1988</v>
      </c>
      <c r="B67" s="101"/>
      <c r="C67" s="237"/>
      <c r="D67" s="102" t="str">
        <f>IFERROR(VLOOKUP(Table213[[#This Row],[Type of Waste Disposed]],Table14[],2,FALSE)," ")</f>
        <v xml:space="preserve"> </v>
      </c>
      <c r="E67" s="127">
        <f>IFERROR(B67*MCF*Table213[[#This Row],[DOCx]]*DOCF*F*(16/12)*(EXP(-$B$22*($A$105-A67-1))-EXP(-$B$22*($A$105-A67))), 0)</f>
        <v>0</v>
      </c>
      <c r="F67" s="243"/>
    </row>
    <row r="68" spans="1:7" s="49" customFormat="1">
      <c r="A68" s="50">
        <v>1989</v>
      </c>
      <c r="B68" s="51"/>
      <c r="C68" s="238"/>
      <c r="D68" s="241" t="str">
        <f>IFERROR(VLOOKUP(Table213[[#This Row],[Type of Waste Disposed]],Table14[],2,FALSE)," ")</f>
        <v xml:space="preserve"> </v>
      </c>
      <c r="E68" s="52">
        <f>IFERROR(B68*MCF*Table213[[#This Row],[DOCx]]*DOCF*F*(16/12)*(EXP(-$B$22*($A$105-A68-1))-EXP(-$B$22*($A$105-A68))), 0)</f>
        <v>0</v>
      </c>
      <c r="F68" s="84"/>
      <c r="G68" s="25"/>
    </row>
    <row r="69" spans="1:7">
      <c r="A69" s="126">
        <v>1990</v>
      </c>
      <c r="B69" s="101"/>
      <c r="C69" s="237"/>
      <c r="D69" s="102" t="str">
        <f>IFERROR(VLOOKUP(Table213[[#This Row],[Type of Waste Disposed]],Table14[],2,FALSE)," ")</f>
        <v xml:space="preserve"> </v>
      </c>
      <c r="E69" s="127">
        <f>IFERROR(B69*MCF*Table213[[#This Row],[DOCx]]*DOCF*F*(16/12)*(EXP(-$B$22*($A$105-A69-1))-EXP(-$B$22*($A$105-A69))), 0)</f>
        <v>0</v>
      </c>
      <c r="F69" s="243"/>
    </row>
    <row r="70" spans="1:7" s="49" customFormat="1">
      <c r="A70" s="50">
        <v>1991</v>
      </c>
      <c r="B70" s="51"/>
      <c r="C70" s="238"/>
      <c r="D70" s="241" t="str">
        <f>IFERROR(VLOOKUP(Table213[[#This Row],[Type of Waste Disposed]],Table14[],2,FALSE)," ")</f>
        <v xml:space="preserve"> </v>
      </c>
      <c r="E70" s="52">
        <f>IFERROR(B70*MCF*Table213[[#This Row],[DOCx]]*DOCF*F*(16/12)*(EXP(-$B$22*($A$105-A70-1))-EXP(-$B$22*($A$105-A70))), 0)</f>
        <v>0</v>
      </c>
      <c r="F70" s="84"/>
      <c r="G70" s="25"/>
    </row>
    <row r="71" spans="1:7">
      <c r="A71" s="126">
        <v>1992</v>
      </c>
      <c r="B71" s="101"/>
      <c r="C71" s="237"/>
      <c r="D71" s="102" t="str">
        <f>IFERROR(VLOOKUP(Table213[[#This Row],[Type of Waste Disposed]],Table14[],2,FALSE)," ")</f>
        <v xml:space="preserve"> </v>
      </c>
      <c r="E71" s="127">
        <f>IFERROR(B71*MCF*Table213[[#This Row],[DOCx]]*DOCF*F*(16/12)*(EXP(-$B$22*($A$105-A71-1))-EXP(-$B$22*($A$105-A71))), 0)</f>
        <v>0</v>
      </c>
      <c r="F71" s="243"/>
    </row>
    <row r="72" spans="1:7" s="49" customFormat="1">
      <c r="A72" s="50">
        <v>1993</v>
      </c>
      <c r="B72" s="51"/>
      <c r="C72" s="238"/>
      <c r="D72" s="241" t="str">
        <f>IFERROR(VLOOKUP(Table213[[#This Row],[Type of Waste Disposed]],Table14[],2,FALSE)," ")</f>
        <v xml:space="preserve"> </v>
      </c>
      <c r="E72" s="52">
        <f>IFERROR(B72*MCF*Table213[[#This Row],[DOCx]]*DOCF*F*(16/12)*(EXP(-$B$22*($A$105-A72-1))-EXP(-$B$22*($A$105-A72))), 0)</f>
        <v>0</v>
      </c>
      <c r="F72" s="84"/>
      <c r="G72" s="25"/>
    </row>
    <row r="73" spans="1:7">
      <c r="A73" s="126">
        <v>1994</v>
      </c>
      <c r="B73" s="101"/>
      <c r="C73" s="237"/>
      <c r="D73" s="102" t="str">
        <f>IFERROR(VLOOKUP(Table213[[#This Row],[Type of Waste Disposed]],Table14[],2,FALSE)," ")</f>
        <v xml:space="preserve"> </v>
      </c>
      <c r="E73" s="127">
        <f>IFERROR(B73*MCF*Table213[[#This Row],[DOCx]]*DOCF*F*(16/12)*(EXP(-$B$22*($A$105-A73-1))-EXP(-$B$22*($A$105-A73))), 0)</f>
        <v>0</v>
      </c>
      <c r="F73" s="243"/>
    </row>
    <row r="74" spans="1:7" s="49" customFormat="1">
      <c r="A74" s="50">
        <v>1995</v>
      </c>
      <c r="B74" s="51"/>
      <c r="C74" s="238"/>
      <c r="D74" s="241" t="str">
        <f>IFERROR(VLOOKUP(Table213[[#This Row],[Type of Waste Disposed]],Table14[],2,FALSE)," ")</f>
        <v xml:space="preserve"> </v>
      </c>
      <c r="E74" s="52">
        <f>IFERROR(B74*MCF*Table213[[#This Row],[DOCx]]*DOCF*F*(16/12)*(EXP(-$B$22*($A$105-A74-1))-EXP(-$B$22*($A$105-A74))), 0)</f>
        <v>0</v>
      </c>
      <c r="F74" s="84"/>
      <c r="G74" s="25"/>
    </row>
    <row r="75" spans="1:7">
      <c r="A75" s="126">
        <v>1996</v>
      </c>
      <c r="B75" s="101"/>
      <c r="C75" s="237"/>
      <c r="D75" s="102" t="str">
        <f>IFERROR(VLOOKUP(Table213[[#This Row],[Type of Waste Disposed]],Table14[],2,FALSE)," ")</f>
        <v xml:space="preserve"> </v>
      </c>
      <c r="E75" s="127">
        <f>IFERROR(B75*MCF*Table213[[#This Row],[DOCx]]*DOCF*F*(16/12)*(EXP(-$B$22*($A$105-A75-1))-EXP(-$B$22*($A$105-A75))), 0)</f>
        <v>0</v>
      </c>
      <c r="F75" s="243"/>
    </row>
    <row r="76" spans="1:7" s="49" customFormat="1">
      <c r="A76" s="50">
        <v>1997</v>
      </c>
      <c r="B76" s="51"/>
      <c r="C76" s="238"/>
      <c r="D76" s="241" t="str">
        <f>IFERROR(VLOOKUP(Table213[[#This Row],[Type of Waste Disposed]],Table14[],2,FALSE)," ")</f>
        <v xml:space="preserve"> </v>
      </c>
      <c r="E76" s="52">
        <f>IFERROR(B76*MCF*Table213[[#This Row],[DOCx]]*DOCF*F*(16/12)*(EXP(-$B$22*($A$105-A76-1))-EXP(-$B$22*($A$105-A76))), 0)</f>
        <v>0</v>
      </c>
      <c r="F76" s="84"/>
      <c r="G76" s="25"/>
    </row>
    <row r="77" spans="1:7">
      <c r="A77" s="126">
        <v>1998</v>
      </c>
      <c r="B77" s="101"/>
      <c r="C77" s="237"/>
      <c r="D77" s="102" t="str">
        <f>IFERROR(VLOOKUP(Table213[[#This Row],[Type of Waste Disposed]],Table14[],2,FALSE)," ")</f>
        <v xml:space="preserve"> </v>
      </c>
      <c r="E77" s="127">
        <f>IFERROR(B77*MCF*Table213[[#This Row],[DOCx]]*DOCF*F*(16/12)*(EXP(-$B$22*($A$105-A77-1))-EXP(-$B$22*($A$105-A77))), 0)</f>
        <v>0</v>
      </c>
      <c r="F77" s="243"/>
    </row>
    <row r="78" spans="1:7" s="49" customFormat="1">
      <c r="A78" s="50">
        <v>1999</v>
      </c>
      <c r="B78" s="51"/>
      <c r="C78" s="238"/>
      <c r="D78" s="241" t="str">
        <f>IFERROR(VLOOKUP(Table213[[#This Row],[Type of Waste Disposed]],Table14[],2,FALSE)," ")</f>
        <v xml:space="preserve"> </v>
      </c>
      <c r="E78" s="52">
        <f>IFERROR(B78*MCF*Table213[[#This Row],[DOCx]]*DOCF*F*(16/12)*(EXP(-$B$22*($A$105-A78-1))-EXP(-$B$22*($A$105-A78))), 0)</f>
        <v>0</v>
      </c>
      <c r="F78" s="84"/>
      <c r="G78" s="25"/>
    </row>
    <row r="79" spans="1:7">
      <c r="A79" s="126">
        <v>2000</v>
      </c>
      <c r="B79" s="101"/>
      <c r="C79" s="237"/>
      <c r="D79" s="102" t="str">
        <f>IFERROR(VLOOKUP(Table213[[#This Row],[Type of Waste Disposed]],Table14[],2,FALSE)," ")</f>
        <v xml:space="preserve"> </v>
      </c>
      <c r="E79" s="127">
        <f>IFERROR(B79*MCF*Table213[[#This Row],[DOCx]]*DOCF*F*(16/12)*(EXP(-$B$22*($A$105-A79-1))-EXP(-$B$22*($A$105-A79))), 0)</f>
        <v>0</v>
      </c>
      <c r="F79" s="243"/>
    </row>
    <row r="80" spans="1:7" s="49" customFormat="1">
      <c r="A80" s="50">
        <v>2001</v>
      </c>
      <c r="B80" s="51"/>
      <c r="C80" s="238"/>
      <c r="D80" s="241" t="str">
        <f>IFERROR(VLOOKUP(Table213[[#This Row],[Type of Waste Disposed]],Table14[],2,FALSE)," ")</f>
        <v xml:space="preserve"> </v>
      </c>
      <c r="E80" s="52">
        <f>IFERROR(B80*MCF*Table213[[#This Row],[DOCx]]*DOCF*F*(16/12)*(EXP(-$B$22*($A$105-A80-1))-EXP(-$B$22*($A$105-A80))), 0)</f>
        <v>0</v>
      </c>
      <c r="F80" s="84"/>
      <c r="G80" s="25"/>
    </row>
    <row r="81" spans="1:7">
      <c r="A81" s="126">
        <v>2002</v>
      </c>
      <c r="B81" s="101"/>
      <c r="C81" s="237"/>
      <c r="D81" s="102" t="str">
        <f>IFERROR(VLOOKUP(Table213[[#This Row],[Type of Waste Disposed]],Table14[],2,FALSE)," ")</f>
        <v xml:space="preserve"> </v>
      </c>
      <c r="E81" s="127">
        <f>IFERROR(B81*MCF*Table213[[#This Row],[DOCx]]*DOCF*F*(16/12)*(EXP(-$B$22*($A$105-A81-1))-EXP(-$B$22*($A$105-A81))), 0)</f>
        <v>0</v>
      </c>
      <c r="F81" s="243"/>
    </row>
    <row r="82" spans="1:7" s="49" customFormat="1">
      <c r="A82" s="50">
        <v>2003</v>
      </c>
      <c r="B82" s="51"/>
      <c r="C82" s="238"/>
      <c r="D82" s="241" t="str">
        <f>IFERROR(VLOOKUP(Table213[[#This Row],[Type of Waste Disposed]],Table14[],2,FALSE)," ")</f>
        <v xml:space="preserve"> </v>
      </c>
      <c r="E82" s="52">
        <f>IFERROR(B82*MCF*Table213[[#This Row],[DOCx]]*DOCF*F*(16/12)*(EXP(-$B$22*($A$105-A82-1))-EXP(-$B$22*($A$105-A82))), 0)</f>
        <v>0</v>
      </c>
      <c r="F82" s="84"/>
      <c r="G82" s="25"/>
    </row>
    <row r="83" spans="1:7">
      <c r="A83" s="126">
        <v>2004</v>
      </c>
      <c r="B83" s="101"/>
      <c r="C83" s="237"/>
      <c r="D83" s="102" t="str">
        <f>IFERROR(VLOOKUP(Table213[[#This Row],[Type of Waste Disposed]],Table14[],2,FALSE)," ")</f>
        <v xml:space="preserve"> </v>
      </c>
      <c r="E83" s="127">
        <f>IFERROR(B83*MCF*Table213[[#This Row],[DOCx]]*DOCF*F*(16/12)*(EXP(-$B$22*($A$105-A83-1))-EXP(-$B$22*($A$105-A83))), 0)</f>
        <v>0</v>
      </c>
      <c r="F83" s="243"/>
    </row>
    <row r="84" spans="1:7" s="49" customFormat="1">
      <c r="A84" s="50">
        <v>2005</v>
      </c>
      <c r="B84" s="51"/>
      <c r="C84" s="238"/>
      <c r="D84" s="241" t="str">
        <f>IFERROR(VLOOKUP(Table213[[#This Row],[Type of Waste Disposed]],Table14[],2,FALSE)," ")</f>
        <v xml:space="preserve"> </v>
      </c>
      <c r="E84" s="52">
        <f>IFERROR(B84*MCF*Table213[[#This Row],[DOCx]]*DOCF*F*(16/12)*(EXP(-$B$22*($A$105-A84-1))-EXP(-$B$22*($A$105-A84))), 0)</f>
        <v>0</v>
      </c>
      <c r="F84" s="84"/>
      <c r="G84" s="25"/>
    </row>
    <row r="85" spans="1:7">
      <c r="A85" s="126">
        <v>2006</v>
      </c>
      <c r="B85" s="101"/>
      <c r="C85" s="237"/>
      <c r="D85" s="102" t="str">
        <f>IFERROR(VLOOKUP(Table213[[#This Row],[Type of Waste Disposed]],Table14[],2,FALSE)," ")</f>
        <v xml:space="preserve"> </v>
      </c>
      <c r="E85" s="127">
        <f>IFERROR(B85*MCF*Table213[[#This Row],[DOCx]]*DOCF*F*(16/12)*(EXP(-$B$22*($A$105-A85-1))-EXP(-$B$22*($A$105-A85))), 0)</f>
        <v>0</v>
      </c>
      <c r="F85" s="243"/>
    </row>
    <row r="86" spans="1:7" s="49" customFormat="1">
      <c r="A86" s="50">
        <v>2007</v>
      </c>
      <c r="B86" s="51"/>
      <c r="C86" s="238"/>
      <c r="D86" s="241" t="str">
        <f>IFERROR(VLOOKUP(Table213[[#This Row],[Type of Waste Disposed]],Table14[],2,FALSE)," ")</f>
        <v xml:space="preserve"> </v>
      </c>
      <c r="E86" s="52">
        <f>IFERROR(B86*MCF*Table213[[#This Row],[DOCx]]*DOCF*F*(16/12)*(EXP(-$B$22*($A$105-A86-1))-EXP(-$B$22*($A$105-A86))), 0)</f>
        <v>0</v>
      </c>
      <c r="F86" s="84"/>
      <c r="G86" s="25"/>
    </row>
    <row r="87" spans="1:7">
      <c r="A87" s="126">
        <v>2008</v>
      </c>
      <c r="B87" s="101"/>
      <c r="C87" s="237"/>
      <c r="D87" s="102" t="str">
        <f>IFERROR(VLOOKUP(Table213[[#This Row],[Type of Waste Disposed]],Table14[],2,FALSE)," ")</f>
        <v xml:space="preserve"> </v>
      </c>
      <c r="E87" s="127">
        <f>IFERROR(B87*MCF*Table213[[#This Row],[DOCx]]*DOCF*F*(16/12)*(EXP(-$B$22*($A$105-A87-1))-EXP(-$B$22*($A$105-A87))), 0)</f>
        <v>0</v>
      </c>
      <c r="F87" s="243"/>
    </row>
    <row r="88" spans="1:7" s="49" customFormat="1">
      <c r="A88" s="50">
        <v>2009</v>
      </c>
      <c r="B88" s="51"/>
      <c r="C88" s="238"/>
      <c r="D88" s="241" t="str">
        <f>IFERROR(VLOOKUP(Table213[[#This Row],[Type of Waste Disposed]],Table14[],2,FALSE)," ")</f>
        <v xml:space="preserve"> </v>
      </c>
      <c r="E88" s="52">
        <f>IFERROR(B88*MCF*Table213[[#This Row],[DOCx]]*DOCF*F*(16/12)*(EXP(-$B$22*($A$105-A88-1))-EXP(-$B$22*($A$105-A88))), 0)</f>
        <v>0</v>
      </c>
      <c r="F88" s="84"/>
      <c r="G88" s="25"/>
    </row>
    <row r="89" spans="1:7">
      <c r="A89" s="126">
        <v>2010</v>
      </c>
      <c r="B89" s="101"/>
      <c r="C89" s="237"/>
      <c r="D89" s="102" t="str">
        <f>IFERROR(VLOOKUP(Table213[[#This Row],[Type of Waste Disposed]],Table14[],2,FALSE)," ")</f>
        <v xml:space="preserve"> </v>
      </c>
      <c r="E89" s="127">
        <f>IFERROR(B89*MCF*Table213[[#This Row],[DOCx]]*DOCF*F*(16/12)*(EXP(-$B$22*($A$105-A89-1))-EXP(-$B$22*($A$105-A89))), 0)</f>
        <v>0</v>
      </c>
      <c r="F89" s="243"/>
    </row>
    <row r="90" spans="1:7" s="49" customFormat="1">
      <c r="A90" s="50">
        <v>2011</v>
      </c>
      <c r="B90" s="51"/>
      <c r="C90" s="238"/>
      <c r="D90" s="241" t="str">
        <f>IFERROR(VLOOKUP(Table213[[#This Row],[Type of Waste Disposed]],Table14[],2,FALSE)," ")</f>
        <v xml:space="preserve"> </v>
      </c>
      <c r="E90" s="52">
        <f>IFERROR(B90*MCF*Table213[[#This Row],[DOCx]]*DOCF*F*(16/12)*(EXP(-$B$22*($A$105-A90-1))-EXP(-$B$22*($A$105-A90))), 0)</f>
        <v>0</v>
      </c>
      <c r="F90" s="84"/>
      <c r="G90" s="25"/>
    </row>
    <row r="91" spans="1:7">
      <c r="A91" s="126">
        <v>2012</v>
      </c>
      <c r="B91" s="101"/>
      <c r="C91" s="237"/>
      <c r="D91" s="102" t="str">
        <f>IFERROR(VLOOKUP(Table213[[#This Row],[Type of Waste Disposed]],Table14[],2,FALSE)," ")</f>
        <v xml:space="preserve"> </v>
      </c>
      <c r="E91" s="127">
        <f>IFERROR(B91*MCF*Table213[[#This Row],[DOCx]]*DOCF*F*(16/12)*(EXP(-$B$22*($A$105-A91-1))-EXP(-$B$22*($A$105-A91))), 0)</f>
        <v>0</v>
      </c>
      <c r="F91" s="243"/>
    </row>
    <row r="92" spans="1:7" s="49" customFormat="1">
      <c r="A92" s="50">
        <v>2013</v>
      </c>
      <c r="B92" s="51"/>
      <c r="C92" s="238"/>
      <c r="D92" s="241" t="str">
        <f>IFERROR(VLOOKUP(Table213[[#This Row],[Type of Waste Disposed]],Table14[],2,FALSE)," ")</f>
        <v xml:space="preserve"> </v>
      </c>
      <c r="E92" s="52">
        <f>IFERROR(B92*MCF*Table213[[#This Row],[DOCx]]*DOCF*F*(16/12)*(EXP(-$B$22*($A$105-A92-1))-EXP(-$B$22*($A$105-A92))), 0)</f>
        <v>0</v>
      </c>
      <c r="F92" s="84"/>
      <c r="G92" s="25"/>
    </row>
    <row r="93" spans="1:7">
      <c r="A93" s="126">
        <v>2014</v>
      </c>
      <c r="B93" s="101"/>
      <c r="C93" s="237"/>
      <c r="D93" s="102" t="str">
        <f>IFERROR(VLOOKUP(Table213[[#This Row],[Type of Waste Disposed]],Table14[],2,FALSE)," ")</f>
        <v xml:space="preserve"> </v>
      </c>
      <c r="E93" s="127">
        <f>IFERROR(B93*MCF*Table213[[#This Row],[DOCx]]*DOCF*F*(16/12)*(EXP(-$B$22*($A$105-A93-1))-EXP(-$B$22*($A$105-A93))), 0)</f>
        <v>0</v>
      </c>
      <c r="F93" s="243"/>
    </row>
    <row r="94" spans="1:7" s="49" customFormat="1">
      <c r="A94" s="50">
        <v>2015</v>
      </c>
      <c r="B94" s="51"/>
      <c r="C94" s="238"/>
      <c r="D94" s="241" t="str">
        <f>IFERROR(VLOOKUP(Table213[[#This Row],[Type of Waste Disposed]],Table14[],2,FALSE)," ")</f>
        <v xml:space="preserve"> </v>
      </c>
      <c r="E94" s="52">
        <f>IFERROR(B94*MCF*Table213[[#This Row],[DOCx]]*DOCF*F*(16/12)*(EXP(-$B$22*($A$105-A94-1))-EXP(-$B$22*($A$105-A94))), 0)</f>
        <v>0</v>
      </c>
      <c r="F94" s="84"/>
      <c r="G94" s="25"/>
    </row>
    <row r="95" spans="1:7">
      <c r="A95" s="126">
        <v>2016</v>
      </c>
      <c r="B95" s="101"/>
      <c r="C95" s="237"/>
      <c r="D95" s="102" t="str">
        <f>IFERROR(VLOOKUP(Table213[[#This Row],[Type of Waste Disposed]],Table14[],2,FALSE)," ")</f>
        <v xml:space="preserve"> </v>
      </c>
      <c r="E95" s="127">
        <f>IFERROR(B95*MCF*Table213[[#This Row],[DOCx]]*DOCF*F*(16/12)*(EXP(-$B$22*($A$105-A95-1))-EXP(-$B$22*($A$105-A95))), 0)</f>
        <v>0</v>
      </c>
      <c r="F95" s="243"/>
    </row>
    <row r="96" spans="1:7" s="49" customFormat="1">
      <c r="A96" s="50">
        <v>2017</v>
      </c>
      <c r="B96" s="51"/>
      <c r="C96" s="238"/>
      <c r="D96" s="241" t="str">
        <f>IFERROR(VLOOKUP(Table213[[#This Row],[Type of Waste Disposed]],Table14[],2,FALSE)," ")</f>
        <v xml:space="preserve"> </v>
      </c>
      <c r="E96" s="52">
        <f>IFERROR(B96*MCF*Table213[[#This Row],[DOCx]]*DOCF*F*(16/12)*(EXP(-$B$22*($A$105-A96-1))-EXP(-$B$22*($A$105-A96))), 0)</f>
        <v>0</v>
      </c>
      <c r="F96" s="84"/>
      <c r="G96" s="25"/>
    </row>
    <row r="97" spans="1:7">
      <c r="A97" s="126">
        <v>2018</v>
      </c>
      <c r="B97" s="101"/>
      <c r="C97" s="237"/>
      <c r="D97" s="102" t="str">
        <f>IFERROR(VLOOKUP(Table213[[#This Row],[Type of Waste Disposed]],Table14[],2,FALSE)," ")</f>
        <v xml:space="preserve"> </v>
      </c>
      <c r="E97" s="127">
        <f>IFERROR(B97*MCF*Table213[[#This Row],[DOCx]]*DOCF*F*(16/12)*(EXP(-$B$22*($A$105-A97-1))-EXP(-$B$22*($A$105-A97))), 0)</f>
        <v>0</v>
      </c>
      <c r="F97" s="243"/>
    </row>
    <row r="98" spans="1:7" s="49" customFormat="1">
      <c r="A98" s="50">
        <v>2019</v>
      </c>
      <c r="B98" s="51"/>
      <c r="C98" s="238"/>
      <c r="D98" s="241" t="str">
        <f>IFERROR(VLOOKUP(Table213[[#This Row],[Type of Waste Disposed]],Table14[],2,FALSE)," ")</f>
        <v xml:space="preserve"> </v>
      </c>
      <c r="E98" s="52">
        <f>IFERROR(B98*MCF*Table213[[#This Row],[DOCx]]*DOCF*F*(16/12)*(EXP(-$B$22*($A$105-A98-1))-EXP(-$B$22*($A$105-A98))), 0)</f>
        <v>0</v>
      </c>
      <c r="F98" s="84"/>
      <c r="G98" s="25"/>
    </row>
    <row r="99" spans="1:7">
      <c r="A99" s="126">
        <v>2020</v>
      </c>
      <c r="B99" s="101"/>
      <c r="C99" s="237"/>
      <c r="D99" s="102" t="str">
        <f>IFERROR(VLOOKUP(Table213[[#This Row],[Type of Waste Disposed]],Table14[],2,FALSE)," ")</f>
        <v xml:space="preserve"> </v>
      </c>
      <c r="E99" s="127">
        <f>IFERROR(B99*MCF*Table213[[#This Row],[DOCx]]*DOCF*F*(16/12)*(EXP(-$B$22*($A$105-A99-1))-EXP(-$B$22*($A$105-A99))), 0)</f>
        <v>0</v>
      </c>
      <c r="F99" s="243"/>
    </row>
    <row r="100" spans="1:7" s="49" customFormat="1">
      <c r="A100" s="50">
        <v>2021</v>
      </c>
      <c r="B100" s="51"/>
      <c r="C100" s="238"/>
      <c r="D100" s="241" t="str">
        <f>IFERROR(VLOOKUP(Table213[[#This Row],[Type of Waste Disposed]],Table14[],2,FALSE)," ")</f>
        <v xml:space="preserve"> </v>
      </c>
      <c r="E100" s="52">
        <f>IFERROR(B100*MCF*Table213[[#This Row],[DOCx]]*DOCF*F*(16/12)*(EXP(-$B$22*($A$105-A100-1))-EXP(-$B$22*($A$105-A100))), 0)</f>
        <v>0</v>
      </c>
      <c r="F100" s="84"/>
      <c r="G100" s="25"/>
    </row>
    <row r="101" spans="1:7">
      <c r="A101" s="126">
        <v>2022</v>
      </c>
      <c r="B101" s="101"/>
      <c r="C101" s="237"/>
      <c r="D101" s="102" t="str">
        <f>IFERROR(VLOOKUP(Table213[[#This Row],[Type of Waste Disposed]],Table14[],2,FALSE)," ")</f>
        <v xml:space="preserve"> </v>
      </c>
      <c r="E101" s="127">
        <f>IFERROR(B101*MCF*Table213[[#This Row],[DOCx]]*DOCF*F*(16/12)*(EXP(-$B$22*($A$105-A101-1))-EXP(-$B$22*($A$105-A101))), 0)</f>
        <v>0</v>
      </c>
      <c r="F101" s="243"/>
    </row>
    <row r="102" spans="1:7" s="49" customFormat="1">
      <c r="A102" s="50">
        <v>2023</v>
      </c>
      <c r="B102" s="51"/>
      <c r="C102" s="238"/>
      <c r="D102" s="241" t="str">
        <f>IFERROR(VLOOKUP(Table213[[#This Row],[Type of Waste Disposed]],Table14[],2,FALSE)," ")</f>
        <v xml:space="preserve"> </v>
      </c>
      <c r="E102" s="52">
        <f>IFERROR(B102*MCF*Table213[[#This Row],[DOCx]]*DOCF*F*(16/12)*(EXP(-$B$22*($A$105-A102-1))-EXP(-$B$22*($A$105-A102))), 0)</f>
        <v>0</v>
      </c>
      <c r="F102" s="84"/>
      <c r="G102" s="25"/>
    </row>
    <row r="103" spans="1:7">
      <c r="A103" s="126">
        <v>2024</v>
      </c>
      <c r="B103" s="101"/>
      <c r="C103" s="237"/>
      <c r="D103" s="102" t="str">
        <f>IFERROR(VLOOKUP(Table213[[#This Row],[Type of Waste Disposed]],Table14[],2,FALSE)," ")</f>
        <v xml:space="preserve"> </v>
      </c>
      <c r="E103" s="127">
        <f>IFERROR(B103*MCF*Table213[[#This Row],[DOCx]]*DOCF*F*(16/12)*(EXP(-$B$22*($A$105-A103-1))-EXP(-$B$22*($A$105-A103))), 0)</f>
        <v>0</v>
      </c>
      <c r="F103" s="243"/>
    </row>
    <row r="104" spans="1:7" s="49" customFormat="1">
      <c r="A104" s="50">
        <v>2025</v>
      </c>
      <c r="B104" s="51"/>
      <c r="C104" s="238"/>
      <c r="D104" s="241" t="str">
        <f>IFERROR(VLOOKUP(Table213[[#This Row],[Type of Waste Disposed]],Table14[],2,FALSE)," ")</f>
        <v xml:space="preserve"> </v>
      </c>
      <c r="E104" s="52">
        <f>IFERROR(B104*MCF*Table213[[#This Row],[DOCx]]*DOCF*F*(16/12)*(EXP(-$B$22*($A$105-A104-1))-EXP(-$B$22*($A$105-A104))), 0)</f>
        <v>0</v>
      </c>
      <c r="F104" s="84"/>
      <c r="G104" s="25"/>
    </row>
    <row r="105" spans="1:7">
      <c r="A105" s="128">
        <v>2026</v>
      </c>
      <c r="B105" s="106"/>
      <c r="C105" s="239"/>
      <c r="D105" s="108" t="str">
        <f>IFERROR(VLOOKUP(Table213[[#This Row],[Type of Waste Disposed]],Table14[],2,FALSE)," ")</f>
        <v xml:space="preserve"> </v>
      </c>
      <c r="E105" s="129">
        <f>IFERROR(B105*MCF*Table213[[#This Row],[DOCx]]*DOCF*F*(16/12)*(EXP(-$B$22*($A$105-A105-1))-EXP(-$B$22*($A$105-A105))), 0)</f>
        <v>0</v>
      </c>
      <c r="F105" s="243"/>
    </row>
    <row r="106" spans="1:7" ht="18.75" customHeight="1">
      <c r="A106" s="1"/>
      <c r="B106" s="5"/>
      <c r="C106" s="5"/>
      <c r="D106" s="328" t="s">
        <v>56</v>
      </c>
      <c r="E106" s="330">
        <f>SUM(E39:E105)</f>
        <v>0</v>
      </c>
      <c r="F106" s="331" t="s">
        <v>57</v>
      </c>
    </row>
    <row r="107" spans="1:7" ht="15" thickBot="1">
      <c r="A107" s="1"/>
      <c r="B107" s="25"/>
      <c r="D107" s="446" t="s">
        <v>82</v>
      </c>
      <c r="E107" s="446"/>
      <c r="F107" s="447"/>
    </row>
    <row r="108" spans="1:7" ht="15" thickBot="1">
      <c r="A108" s="24"/>
      <c r="B108" s="5"/>
      <c r="D108" s="344" t="s">
        <v>83</v>
      </c>
      <c r="E108" s="275"/>
      <c r="F108" s="332"/>
    </row>
    <row r="109" spans="1:7">
      <c r="A109" s="24"/>
      <c r="B109" s="5"/>
      <c r="C109" s="5"/>
      <c r="D109" s="328" t="s">
        <v>59</v>
      </c>
      <c r="E109" s="329" t="str">
        <f>IFERROR((VLOOKUP(E108,Table4[#All],3,FALSE))," ")</f>
        <v xml:space="preserve"> </v>
      </c>
      <c r="F109" s="83"/>
    </row>
    <row r="110" spans="1:7" ht="34.5" customHeight="1">
      <c r="A110" s="1"/>
      <c r="B110" s="5"/>
      <c r="C110" s="5"/>
      <c r="D110" s="345" t="s">
        <v>84</v>
      </c>
      <c r="E110" s="22" t="str">
        <f>IFERROR((E106*(1-E109))," ")</f>
        <v xml:space="preserve"> </v>
      </c>
      <c r="F110" s="333" t="s">
        <v>61</v>
      </c>
    </row>
    <row r="111" spans="1:7" s="49" customFormat="1" ht="18" customHeight="1" thickBot="1">
      <c r="A111" s="24"/>
      <c r="B111" s="25"/>
      <c r="D111" s="444" t="s">
        <v>85</v>
      </c>
      <c r="E111" s="444"/>
      <c r="F111" s="445"/>
      <c r="G111" s="25"/>
    </row>
    <row r="112" spans="1:7" ht="18" customHeight="1" thickBot="1">
      <c r="A112" s="1"/>
      <c r="B112" s="5"/>
      <c r="C112" s="5"/>
      <c r="D112" s="337" t="s">
        <v>62</v>
      </c>
      <c r="E112" s="276"/>
      <c r="F112" s="334" t="s">
        <v>86</v>
      </c>
    </row>
    <row r="113" spans="1:6">
      <c r="A113" s="1"/>
      <c r="B113" s="5"/>
      <c r="C113" s="5"/>
      <c r="D113" s="328" t="s">
        <v>64</v>
      </c>
      <c r="E113" s="329" t="str">
        <f>IFERROR(((E110-E112)*84), " ")</f>
        <v xml:space="preserve"> </v>
      </c>
      <c r="F113" s="331" t="s">
        <v>65</v>
      </c>
    </row>
    <row r="114" spans="1:6">
      <c r="A114" s="424"/>
      <c r="B114" s="424"/>
      <c r="C114" s="424"/>
      <c r="D114" s="424"/>
      <c r="E114" s="424"/>
      <c r="F114" s="425"/>
    </row>
    <row r="115" spans="1:6">
      <c r="A115" s="5"/>
      <c r="B115" s="5"/>
      <c r="C115" s="5"/>
      <c r="D115" s="5"/>
      <c r="E115" s="5"/>
      <c r="F115" s="243"/>
    </row>
    <row r="116" spans="1:6">
      <c r="A116" s="245"/>
      <c r="B116" s="245"/>
      <c r="C116" s="245"/>
      <c r="D116" s="245"/>
      <c r="E116" s="245"/>
      <c r="F116" s="317"/>
    </row>
  </sheetData>
  <sheetProtection algorithmName="SHA-512" hashValue="rSEaR9JPhEb5EyXO2EaT7APR+FASyTFPlYZ2BIiZug6Q6dJJ6K/E0O4MWr+IRiHeHjwoJFItssEs27nXzISDDA==" saltValue="X/tbL+LjPvinFbiGe9rDAg==" spinCount="100000" sheet="1" objects="1" scenarios="1"/>
  <mergeCells count="16">
    <mergeCell ref="A114:F114"/>
    <mergeCell ref="A13:F13"/>
    <mergeCell ref="A14:F14"/>
    <mergeCell ref="A12:F12"/>
    <mergeCell ref="A1:F1"/>
    <mergeCell ref="A4:F4"/>
    <mergeCell ref="A5:F5"/>
    <mergeCell ref="A6:F6"/>
    <mergeCell ref="A10:F10"/>
    <mergeCell ref="A9:F9"/>
    <mergeCell ref="A37:F37"/>
    <mergeCell ref="D111:F111"/>
    <mergeCell ref="D107:F107"/>
    <mergeCell ref="A11:F11"/>
    <mergeCell ref="A16:F16"/>
    <mergeCell ref="A24:E24"/>
  </mergeCells>
  <hyperlinks>
    <hyperlink ref="D107" location="'Landfill Cover Types'!A1" display="select type of landfill cover" xr:uid="{DD1DCD05-729B-4502-A043-0629E7168D5A}"/>
    <hyperlink ref="A2" location="'Table of Contents'!A1" display="return to table of contents" xr:uid="{76519E0F-0CC4-4C77-A250-D22A186D5C43}"/>
    <hyperlink ref="C38" location="'Industrial landfill tables'!A1" display="Type of waste disposed" xr:uid="{0DAAE405-21B2-499C-8810-3C248B4E58D3}"/>
  </hyperlink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BBEDEF57-1DEE-4E68-950A-BA0AE1B68BF3}">
          <x14:formula1>
            <xm:f>'Landfill Cover Types'!$A$6:$A$11</xm:f>
          </x14:formula1>
          <xm:sqref>E108</xm:sqref>
        </x14:dataValidation>
        <x14:dataValidation type="list" allowBlank="1" showInputMessage="1" showErrorMessage="1" xr:uid="{707A9AD0-C434-439B-9AD5-B48B7E608A8B}">
          <x14:formula1>
            <xm:f>'Industrial Landfill Tables'!$B$5:$B$15</xm:f>
          </x14:formula1>
          <xm:sqref>C39:C105 A26:A34 B17:B18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9B7A-5E0F-4A18-93E7-1E9E1DD257E9}">
  <dimension ref="A1:O44"/>
  <sheetViews>
    <sheetView showGridLines="0" topLeftCell="A15" zoomScale="110" zoomScaleNormal="110" workbookViewId="0">
      <selection activeCell="A31" sqref="A31"/>
    </sheetView>
  </sheetViews>
  <sheetFormatPr defaultRowHeight="14.45"/>
  <cols>
    <col min="1" max="1" width="25" customWidth="1"/>
    <col min="2" max="2" width="17.85546875" customWidth="1"/>
    <col min="3" max="3" width="30" customWidth="1"/>
  </cols>
  <sheetData>
    <row r="1" spans="1:15" ht="54.6" customHeight="1">
      <c r="A1" s="430" t="s">
        <v>87</v>
      </c>
      <c r="B1" s="431"/>
      <c r="C1" s="431"/>
      <c r="D1" s="431"/>
      <c r="E1" s="431"/>
      <c r="F1" s="431"/>
      <c r="G1" s="431"/>
      <c r="H1" s="431"/>
      <c r="I1" s="431"/>
      <c r="J1" s="431"/>
      <c r="K1" s="431"/>
      <c r="L1" s="431"/>
      <c r="M1" s="431"/>
      <c r="N1" s="431"/>
      <c r="O1" s="450"/>
    </row>
    <row r="2" spans="1:15" ht="15.6" customHeight="1">
      <c r="A2" s="280" t="s">
        <v>18</v>
      </c>
      <c r="B2" s="279"/>
      <c r="C2" s="279"/>
      <c r="D2" s="279"/>
      <c r="E2" s="279"/>
      <c r="F2" s="279"/>
      <c r="G2" s="279"/>
      <c r="H2" s="279"/>
      <c r="I2" s="279"/>
      <c r="J2" s="279"/>
      <c r="K2" s="279"/>
      <c r="L2" s="294"/>
      <c r="M2" s="295"/>
      <c r="N2" s="295"/>
      <c r="O2" s="246"/>
    </row>
    <row r="3" spans="1:15" ht="18" customHeight="1">
      <c r="A3" s="453" t="s">
        <v>19</v>
      </c>
      <c r="B3" s="399"/>
      <c r="C3" s="399"/>
      <c r="D3" s="399"/>
      <c r="E3" s="399"/>
      <c r="F3" s="399"/>
      <c r="G3" s="399"/>
      <c r="H3" s="399"/>
      <c r="I3" s="399"/>
      <c r="J3" s="399"/>
      <c r="K3" s="399"/>
      <c r="L3" s="399"/>
      <c r="M3" s="399"/>
      <c r="N3" s="399"/>
      <c r="O3" s="400"/>
    </row>
    <row r="4" spans="1:15" s="12" customFormat="1" ht="33" customHeight="1">
      <c r="A4" s="454" t="s">
        <v>88</v>
      </c>
      <c r="B4" s="455"/>
      <c r="C4" s="455"/>
      <c r="D4" s="455"/>
      <c r="E4" s="455"/>
      <c r="F4" s="455"/>
      <c r="G4" s="455"/>
      <c r="H4" s="455"/>
      <c r="I4" s="455"/>
      <c r="J4" s="455"/>
      <c r="K4" s="455"/>
      <c r="L4" s="455"/>
      <c r="M4" s="455"/>
      <c r="N4" s="455"/>
      <c r="O4" s="456"/>
    </row>
    <row r="5" spans="1:15" ht="15.6" customHeight="1">
      <c r="A5" s="293"/>
      <c r="B5" s="279"/>
      <c r="C5" s="279"/>
      <c r="D5" s="279"/>
      <c r="E5" s="279"/>
      <c r="F5" s="279"/>
      <c r="G5" s="279"/>
      <c r="H5" s="279"/>
      <c r="I5" s="279"/>
      <c r="J5" s="279"/>
      <c r="K5" s="279"/>
      <c r="L5" s="294"/>
      <c r="M5" s="295"/>
      <c r="N5" s="295"/>
      <c r="O5" s="246"/>
    </row>
    <row r="6" spans="1:15" ht="15.75" customHeight="1">
      <c r="A6" s="457" t="s">
        <v>89</v>
      </c>
      <c r="B6" s="458"/>
      <c r="C6" s="458"/>
      <c r="D6" s="458"/>
      <c r="E6" s="458"/>
      <c r="F6" s="458"/>
      <c r="G6" s="458"/>
      <c r="H6" s="458"/>
      <c r="I6" s="458"/>
      <c r="J6" s="458"/>
      <c r="K6" s="458"/>
      <c r="L6" s="458"/>
      <c r="M6" s="458"/>
      <c r="N6" s="458"/>
      <c r="O6" s="459"/>
    </row>
    <row r="7" spans="1:15" ht="15.75" customHeight="1">
      <c r="A7" s="460" t="s">
        <v>90</v>
      </c>
      <c r="B7" s="387"/>
      <c r="C7" s="387"/>
      <c r="D7" s="387"/>
      <c r="E7" s="387"/>
      <c r="F7" s="387"/>
      <c r="G7" s="387"/>
      <c r="H7" s="387"/>
      <c r="I7" s="387"/>
      <c r="J7" s="387"/>
      <c r="K7" s="387"/>
      <c r="L7" s="387"/>
      <c r="M7" s="387"/>
      <c r="N7" s="387"/>
      <c r="O7" s="461"/>
    </row>
    <row r="8" spans="1:15" ht="15.75" customHeight="1">
      <c r="A8" s="460" t="s">
        <v>91</v>
      </c>
      <c r="B8" s="387"/>
      <c r="C8" s="387"/>
      <c r="D8" s="387"/>
      <c r="E8" s="387"/>
      <c r="F8" s="387"/>
      <c r="G8" s="387"/>
      <c r="H8" s="387"/>
      <c r="I8" s="387"/>
      <c r="J8" s="387"/>
      <c r="K8" s="387"/>
      <c r="L8" s="387"/>
      <c r="M8" s="387"/>
      <c r="N8" s="387"/>
      <c r="O8" s="461"/>
    </row>
    <row r="9" spans="1:15" ht="15.75" customHeight="1">
      <c r="A9" s="460" t="s">
        <v>92</v>
      </c>
      <c r="B9" s="387"/>
      <c r="C9" s="387"/>
      <c r="D9" s="387"/>
      <c r="E9" s="387"/>
      <c r="F9" s="387"/>
      <c r="G9" s="387"/>
      <c r="H9" s="387"/>
      <c r="I9" s="387"/>
      <c r="J9" s="387"/>
      <c r="K9" s="387"/>
      <c r="L9" s="387"/>
      <c r="M9" s="387"/>
      <c r="N9" s="387"/>
      <c r="O9" s="461"/>
    </row>
    <row r="10" spans="1:15" ht="19.5" customHeight="1">
      <c r="A10" s="462" t="s">
        <v>93</v>
      </c>
      <c r="B10" s="463"/>
      <c r="C10" s="463"/>
      <c r="D10" s="463"/>
      <c r="E10" s="463"/>
      <c r="F10" s="463"/>
      <c r="G10" s="463"/>
      <c r="H10" s="463"/>
      <c r="I10" s="463"/>
      <c r="J10" s="463"/>
      <c r="K10" s="463"/>
      <c r="L10" s="463"/>
      <c r="M10" s="463"/>
      <c r="N10" s="463"/>
      <c r="O10" s="464"/>
    </row>
    <row r="11" spans="1:15" ht="14.45" customHeight="1">
      <c r="A11" s="349"/>
      <c r="B11" s="350"/>
      <c r="C11" s="350"/>
      <c r="D11" s="350"/>
      <c r="E11" s="350"/>
      <c r="F11" s="350"/>
      <c r="G11" s="350"/>
      <c r="H11" s="350"/>
      <c r="I11" s="350"/>
      <c r="J11" s="350"/>
      <c r="K11" s="350"/>
      <c r="L11" s="5"/>
      <c r="M11" s="5"/>
      <c r="N11" s="5"/>
      <c r="O11" s="19"/>
    </row>
    <row r="12" spans="1:15" ht="40.5" customHeight="1">
      <c r="A12" s="467" t="s">
        <v>94</v>
      </c>
      <c r="B12" s="468"/>
      <c r="C12" s="468"/>
      <c r="D12" s="468"/>
      <c r="E12" s="468"/>
      <c r="F12" s="468"/>
      <c r="G12" s="468"/>
      <c r="H12" s="468"/>
      <c r="I12" s="468"/>
      <c r="J12" s="468"/>
      <c r="K12" s="468"/>
      <c r="L12" s="5"/>
      <c r="M12" s="5"/>
      <c r="N12" s="5"/>
      <c r="O12" s="19"/>
    </row>
    <row r="13" spans="1:15" ht="28.9" customHeight="1" thickBot="1">
      <c r="A13" s="137"/>
      <c r="B13" s="138" t="s">
        <v>95</v>
      </c>
      <c r="C13" s="451" t="s">
        <v>96</v>
      </c>
      <c r="D13" s="5"/>
      <c r="E13" s="5"/>
      <c r="F13" s="5"/>
      <c r="G13" s="5"/>
      <c r="H13" s="5"/>
      <c r="I13" s="5"/>
      <c r="J13" s="5"/>
      <c r="K13" s="5"/>
      <c r="L13" s="5"/>
      <c r="M13" s="5"/>
      <c r="N13" s="5"/>
      <c r="O13" s="19"/>
    </row>
    <row r="14" spans="1:15" ht="15" thickBot="1">
      <c r="A14" s="140" t="s">
        <v>97</v>
      </c>
      <c r="B14" s="72"/>
      <c r="C14" s="452"/>
      <c r="D14" s="5"/>
      <c r="E14" s="5"/>
      <c r="F14" s="5"/>
      <c r="G14" s="5"/>
      <c r="H14" s="5"/>
      <c r="I14" s="5"/>
      <c r="J14" s="5"/>
      <c r="K14" s="5"/>
      <c r="L14" s="5"/>
      <c r="M14" s="5"/>
      <c r="N14" s="5"/>
      <c r="O14" s="19"/>
    </row>
    <row r="15" spans="1:15">
      <c r="A15" s="465" t="s">
        <v>98</v>
      </c>
      <c r="B15" s="469"/>
      <c r="C15" s="74"/>
      <c r="D15" s="5"/>
      <c r="E15" s="5"/>
      <c r="F15" s="5"/>
      <c r="G15" s="5"/>
      <c r="H15" s="5"/>
      <c r="I15" s="5"/>
      <c r="J15" s="5"/>
      <c r="K15" s="5"/>
      <c r="L15" s="5"/>
      <c r="M15" s="5"/>
      <c r="N15" s="5"/>
      <c r="O15" s="19"/>
    </row>
    <row r="16" spans="1:15">
      <c r="A16" s="465" t="s">
        <v>99</v>
      </c>
      <c r="B16" s="466"/>
      <c r="C16" s="75"/>
      <c r="D16" s="5"/>
      <c r="E16" s="5"/>
      <c r="F16" s="5"/>
      <c r="G16" s="5"/>
      <c r="H16" s="5"/>
      <c r="I16" s="5"/>
      <c r="J16" s="5"/>
      <c r="K16" s="5"/>
      <c r="L16" s="5"/>
      <c r="M16" s="5"/>
      <c r="N16" s="5"/>
      <c r="O16" s="19"/>
    </row>
    <row r="17" spans="1:15">
      <c r="A17" s="465" t="s">
        <v>100</v>
      </c>
      <c r="B17" s="466"/>
      <c r="C17" s="75"/>
      <c r="D17" s="5"/>
      <c r="E17" s="5"/>
      <c r="F17" s="5"/>
      <c r="G17" s="5"/>
      <c r="H17" s="5"/>
      <c r="I17" s="5"/>
      <c r="J17" s="5"/>
      <c r="K17" s="5"/>
      <c r="L17" s="5"/>
      <c r="M17" s="5"/>
      <c r="N17" s="5"/>
      <c r="O17" s="19"/>
    </row>
    <row r="18" spans="1:15" ht="15" thickBot="1">
      <c r="A18" s="465" t="s">
        <v>101</v>
      </c>
      <c r="B18" s="470"/>
      <c r="C18" s="75"/>
      <c r="D18" s="5"/>
      <c r="E18" s="5"/>
      <c r="F18" s="5"/>
      <c r="G18" s="5"/>
      <c r="H18" s="5"/>
      <c r="I18" s="5"/>
      <c r="J18" s="5"/>
      <c r="K18" s="5"/>
      <c r="L18" s="5"/>
      <c r="M18" s="5"/>
      <c r="N18" s="5"/>
      <c r="O18" s="19"/>
    </row>
    <row r="19" spans="1:15" ht="15" thickBot="1">
      <c r="A19" s="140" t="s">
        <v>102</v>
      </c>
      <c r="B19" s="73"/>
      <c r="C19" s="139" t="s">
        <v>96</v>
      </c>
      <c r="D19" s="5"/>
      <c r="E19" s="5"/>
      <c r="F19" s="5"/>
      <c r="G19" s="5"/>
      <c r="H19" s="5"/>
      <c r="I19" s="5"/>
      <c r="J19" s="5"/>
      <c r="K19" s="5"/>
      <c r="L19" s="5"/>
      <c r="M19" s="5"/>
      <c r="N19" s="5"/>
      <c r="O19" s="19"/>
    </row>
    <row r="20" spans="1:15">
      <c r="A20" s="465" t="s">
        <v>98</v>
      </c>
      <c r="B20" s="469"/>
      <c r="C20" s="75"/>
      <c r="D20" s="5"/>
      <c r="E20" s="5"/>
      <c r="F20" s="5"/>
      <c r="G20" s="5"/>
      <c r="H20" s="5"/>
      <c r="I20" s="5"/>
      <c r="J20" s="5"/>
      <c r="K20" s="5"/>
      <c r="L20" s="5"/>
      <c r="M20" s="5"/>
      <c r="N20" s="5"/>
      <c r="O20" s="19"/>
    </row>
    <row r="21" spans="1:15">
      <c r="A21" s="465" t="s">
        <v>99</v>
      </c>
      <c r="B21" s="466"/>
      <c r="C21" s="75"/>
      <c r="D21" s="5"/>
      <c r="E21" s="5"/>
      <c r="F21" s="5"/>
      <c r="G21" s="5"/>
      <c r="H21" s="5"/>
      <c r="I21" s="5"/>
      <c r="J21" s="5"/>
      <c r="K21" s="5"/>
      <c r="L21" s="5"/>
      <c r="M21" s="5"/>
      <c r="N21" s="5"/>
      <c r="O21" s="19"/>
    </row>
    <row r="22" spans="1:15">
      <c r="A22" s="465" t="s">
        <v>100</v>
      </c>
      <c r="B22" s="466"/>
      <c r="C22" s="75"/>
      <c r="D22" s="5"/>
      <c r="E22" s="5"/>
      <c r="F22" s="5"/>
      <c r="G22" s="5"/>
      <c r="H22" s="5"/>
      <c r="I22" s="5"/>
      <c r="J22" s="5"/>
      <c r="K22" s="5"/>
      <c r="L22" s="5"/>
      <c r="M22" s="5"/>
      <c r="N22" s="5"/>
      <c r="O22" s="19"/>
    </row>
    <row r="23" spans="1:15">
      <c r="A23" s="465" t="s">
        <v>101</v>
      </c>
      <c r="B23" s="466"/>
      <c r="C23" s="75"/>
      <c r="D23" s="5"/>
      <c r="E23" s="5"/>
      <c r="F23" s="5"/>
      <c r="G23" s="5"/>
      <c r="H23" s="5"/>
      <c r="I23" s="5"/>
      <c r="J23" s="5"/>
      <c r="K23" s="5"/>
      <c r="L23" s="5"/>
      <c r="M23" s="5"/>
      <c r="N23" s="5"/>
      <c r="O23" s="19"/>
    </row>
    <row r="24" spans="1:15">
      <c r="A24" s="1"/>
      <c r="B24" s="5"/>
      <c r="C24" s="5"/>
      <c r="D24" s="5"/>
      <c r="E24" s="5"/>
      <c r="F24" s="5"/>
      <c r="G24" s="5"/>
      <c r="H24" s="5"/>
      <c r="I24" s="5"/>
      <c r="J24" s="5"/>
      <c r="K24" s="5"/>
      <c r="L24" s="5"/>
      <c r="M24" s="5"/>
      <c r="N24" s="5"/>
      <c r="O24" s="19"/>
    </row>
    <row r="25" spans="1:15">
      <c r="A25" s="1"/>
      <c r="B25" s="5"/>
      <c r="C25" s="5"/>
      <c r="D25" s="5"/>
      <c r="E25" s="5"/>
      <c r="F25" s="5"/>
      <c r="G25" s="5"/>
      <c r="H25" s="5"/>
      <c r="I25" s="5"/>
      <c r="J25" s="5"/>
      <c r="K25" s="5"/>
      <c r="L25" s="5"/>
      <c r="M25" s="5"/>
      <c r="N25" s="5"/>
      <c r="O25" s="19"/>
    </row>
    <row r="26" spans="1:15">
      <c r="A26" s="141" t="s">
        <v>103</v>
      </c>
      <c r="B26" s="142">
        <f>((C15-C16)*0.785)+((C17-C18)*1.092)</f>
        <v>0</v>
      </c>
      <c r="C26" s="143"/>
      <c r="D26" s="5"/>
      <c r="E26" s="5"/>
      <c r="F26" s="5"/>
      <c r="G26" s="5"/>
      <c r="H26" s="5"/>
      <c r="I26" s="5"/>
      <c r="J26" s="5"/>
      <c r="K26" s="5"/>
      <c r="L26" s="5"/>
      <c r="M26" s="5"/>
      <c r="N26" s="5"/>
      <c r="O26" s="19"/>
    </row>
    <row r="27" spans="1:15">
      <c r="A27" s="141" t="s">
        <v>104</v>
      </c>
      <c r="B27" s="142">
        <f>((C20-C21)*0.785)+((C22-C23)*1.092)</f>
        <v>0</v>
      </c>
      <c r="C27" s="144"/>
      <c r="D27" s="5"/>
      <c r="E27" s="5"/>
      <c r="F27" s="5"/>
      <c r="G27" s="5"/>
      <c r="H27" s="5"/>
      <c r="I27" s="5"/>
      <c r="J27" s="5"/>
      <c r="K27" s="5"/>
      <c r="L27" s="5"/>
      <c r="M27" s="5"/>
      <c r="N27" s="5"/>
      <c r="O27" s="19"/>
    </row>
    <row r="28" spans="1:15">
      <c r="A28" s="141" t="s">
        <v>105</v>
      </c>
      <c r="B28" s="142">
        <f>(B14*B26*(2000/2205))+(B19*B27*(2000/2205))</f>
        <v>0</v>
      </c>
      <c r="C28" s="145" t="s">
        <v>106</v>
      </c>
      <c r="D28" s="5"/>
      <c r="E28" s="5"/>
      <c r="F28" s="5"/>
      <c r="G28" s="5"/>
      <c r="H28" s="5"/>
      <c r="I28" s="5"/>
      <c r="J28" s="5"/>
      <c r="K28" s="5"/>
      <c r="L28" s="5"/>
      <c r="M28" s="5"/>
      <c r="N28" s="5"/>
      <c r="O28" s="19"/>
    </row>
    <row r="29" spans="1:15" ht="15" thickBot="1">
      <c r="A29" s="1"/>
      <c r="B29" s="5"/>
      <c r="C29" s="5"/>
      <c r="D29" s="5"/>
      <c r="E29" s="5"/>
      <c r="F29" s="5"/>
      <c r="G29" s="5"/>
      <c r="H29" s="5"/>
      <c r="I29" s="5"/>
      <c r="J29" s="5"/>
      <c r="K29" s="5"/>
      <c r="L29" s="5"/>
      <c r="M29" s="5"/>
      <c r="N29" s="5"/>
      <c r="O29" s="19"/>
    </row>
    <row r="30" spans="1:15" ht="15" thickBot="1">
      <c r="A30" s="227" t="s">
        <v>107</v>
      </c>
      <c r="B30" s="73"/>
      <c r="C30" s="228" t="s">
        <v>108</v>
      </c>
      <c r="D30" s="5"/>
      <c r="E30" s="5"/>
      <c r="F30" s="5"/>
      <c r="G30" s="5"/>
      <c r="H30" s="5"/>
      <c r="I30" s="5"/>
      <c r="J30" s="5"/>
      <c r="K30" s="5"/>
      <c r="L30" s="5"/>
      <c r="M30" s="5"/>
      <c r="N30" s="5"/>
      <c r="O30" s="19"/>
    </row>
    <row r="31" spans="1:15">
      <c r="A31" s="185" t="s">
        <v>109</v>
      </c>
      <c r="B31" s="230">
        <v>0.2</v>
      </c>
      <c r="C31" s="185"/>
      <c r="D31" s="5"/>
      <c r="E31" s="5"/>
      <c r="F31" s="5"/>
      <c r="G31" s="5"/>
      <c r="H31" s="5"/>
      <c r="I31" s="5"/>
      <c r="J31" s="5"/>
      <c r="K31" s="5"/>
      <c r="L31" s="5"/>
      <c r="M31" s="5"/>
      <c r="N31" s="5"/>
      <c r="O31" s="19"/>
    </row>
    <row r="32" spans="1:15">
      <c r="A32" s="229" t="s">
        <v>110</v>
      </c>
      <c r="B32" s="146">
        <f>B30*B31*(44/12)*(2000/2205)</f>
        <v>0</v>
      </c>
      <c r="C32" s="146" t="s">
        <v>106</v>
      </c>
      <c r="D32" s="5"/>
      <c r="E32" s="5"/>
      <c r="F32" s="5"/>
      <c r="G32" s="5"/>
      <c r="H32" s="5"/>
      <c r="I32" s="5"/>
      <c r="J32" s="5"/>
      <c r="K32" s="5"/>
      <c r="L32" s="5"/>
      <c r="M32" s="5"/>
      <c r="N32" s="5"/>
      <c r="O32" s="19"/>
    </row>
    <row r="33" spans="1:15">
      <c r="A33" s="1"/>
      <c r="B33" s="5"/>
      <c r="C33" s="5"/>
      <c r="D33" s="5"/>
      <c r="E33" s="5"/>
      <c r="F33" s="5"/>
      <c r="G33" s="5"/>
      <c r="H33" s="5"/>
      <c r="I33" s="5"/>
      <c r="J33" s="5"/>
      <c r="K33" s="5"/>
      <c r="L33" s="5"/>
      <c r="M33" s="5"/>
      <c r="N33" s="5"/>
      <c r="O33" s="19"/>
    </row>
    <row r="34" spans="1:15">
      <c r="A34" s="157" t="s">
        <v>111</v>
      </c>
      <c r="B34" s="148">
        <f>B28+B32</f>
        <v>0</v>
      </c>
      <c r="C34" s="148" t="s">
        <v>112</v>
      </c>
      <c r="D34" s="5"/>
      <c r="E34" s="5"/>
      <c r="F34" s="5"/>
      <c r="G34" s="5"/>
      <c r="H34" s="5"/>
      <c r="I34" s="5"/>
      <c r="J34" s="5"/>
      <c r="K34" s="5"/>
      <c r="L34" s="5"/>
      <c r="M34" s="5"/>
      <c r="N34" s="5"/>
      <c r="O34" s="19"/>
    </row>
    <row r="35" spans="1:15">
      <c r="A35" s="1"/>
      <c r="B35" s="5"/>
      <c r="C35" s="5"/>
      <c r="D35" s="5"/>
      <c r="E35" s="5"/>
      <c r="F35" s="5"/>
      <c r="G35" s="5"/>
      <c r="H35" s="5"/>
      <c r="I35" s="5"/>
      <c r="J35" s="5"/>
      <c r="K35" s="5"/>
      <c r="L35" s="5"/>
      <c r="M35" s="5"/>
      <c r="N35" s="5"/>
      <c r="O35" s="19"/>
    </row>
    <row r="36" spans="1:15">
      <c r="A36" s="1"/>
      <c r="B36" s="5"/>
      <c r="C36" s="5"/>
      <c r="D36" s="5"/>
      <c r="E36" s="5"/>
      <c r="F36" s="5"/>
      <c r="G36" s="5"/>
      <c r="H36" s="5"/>
      <c r="I36" s="5"/>
      <c r="J36" s="5"/>
      <c r="K36" s="5"/>
      <c r="L36" s="5"/>
      <c r="M36" s="5"/>
      <c r="N36" s="5"/>
      <c r="O36" s="19"/>
    </row>
    <row r="37" spans="1:15">
      <c r="A37" s="1"/>
      <c r="B37" s="5"/>
      <c r="C37" s="5"/>
      <c r="D37" s="5"/>
      <c r="E37" s="5"/>
      <c r="F37" s="5"/>
      <c r="G37" s="5"/>
      <c r="H37" s="5"/>
      <c r="I37" s="5"/>
      <c r="J37" s="5"/>
      <c r="K37" s="5"/>
      <c r="L37" s="5"/>
      <c r="M37" s="5"/>
      <c r="N37" s="5"/>
      <c r="O37" s="19"/>
    </row>
    <row r="38" spans="1:15">
      <c r="A38" s="1"/>
      <c r="B38" s="5"/>
      <c r="C38" s="5"/>
      <c r="D38" s="5"/>
      <c r="E38" s="5"/>
      <c r="F38" s="5"/>
      <c r="G38" s="5"/>
      <c r="H38" s="5"/>
      <c r="I38" s="5"/>
      <c r="J38" s="5"/>
      <c r="K38" s="5"/>
      <c r="L38" s="5"/>
      <c r="M38" s="5"/>
      <c r="N38" s="5"/>
      <c r="O38" s="19"/>
    </row>
    <row r="39" spans="1:15">
      <c r="A39" s="1"/>
      <c r="B39" s="5"/>
      <c r="C39" s="5"/>
      <c r="D39" s="5"/>
      <c r="E39" s="5"/>
      <c r="F39" s="5"/>
      <c r="G39" s="5"/>
      <c r="H39" s="5"/>
      <c r="I39" s="5"/>
      <c r="J39" s="5"/>
      <c r="K39" s="5"/>
      <c r="L39" s="5"/>
      <c r="M39" s="5"/>
      <c r="N39" s="5"/>
      <c r="O39" s="19"/>
    </row>
    <row r="40" spans="1:15">
      <c r="A40" s="1"/>
      <c r="B40" s="5"/>
      <c r="C40" s="5"/>
      <c r="D40" s="5"/>
      <c r="E40" s="5"/>
      <c r="F40" s="5"/>
      <c r="G40" s="5"/>
      <c r="H40" s="5"/>
      <c r="I40" s="5"/>
      <c r="J40" s="5"/>
      <c r="K40" s="5"/>
      <c r="L40" s="5"/>
      <c r="M40" s="5"/>
      <c r="N40" s="5"/>
      <c r="O40" s="19"/>
    </row>
    <row r="41" spans="1:15">
      <c r="A41" s="1"/>
      <c r="B41" s="5"/>
      <c r="C41" s="5"/>
      <c r="D41" s="5"/>
      <c r="E41" s="5"/>
      <c r="F41" s="5"/>
      <c r="G41" s="5"/>
      <c r="H41" s="5"/>
      <c r="I41" s="5"/>
      <c r="J41" s="5"/>
      <c r="K41" s="5"/>
      <c r="L41" s="5"/>
      <c r="M41" s="5"/>
      <c r="N41" s="5"/>
      <c r="O41" s="19"/>
    </row>
    <row r="42" spans="1:15" ht="15" thickBot="1">
      <c r="A42" s="2"/>
      <c r="B42" s="3"/>
      <c r="C42" s="3"/>
      <c r="D42" s="3"/>
      <c r="E42" s="3"/>
      <c r="F42" s="3"/>
      <c r="G42" s="3"/>
      <c r="H42" s="3"/>
      <c r="I42" s="3"/>
      <c r="J42" s="3"/>
      <c r="K42" s="3"/>
      <c r="L42" s="3"/>
      <c r="M42" s="3"/>
      <c r="N42" s="3"/>
      <c r="O42" s="31"/>
    </row>
    <row r="43" spans="1:15">
      <c r="N43" s="5"/>
    </row>
    <row r="44" spans="1:15">
      <c r="N44" s="5"/>
    </row>
  </sheetData>
  <sheetProtection algorithmName="SHA-512" hashValue="kMqi8zHllprD0+pjLiFNqUihwZsj5EsQz1Zt/fzKfHWAMN2s96vJVqlgdX8Jzy/1s+Q2oOzsR4zB63pB3vyVNg==" saltValue="9c6GhugNn7YgONMfKwgoyw==" spinCount="100000" sheet="1" objects="1" scenarios="1"/>
  <mergeCells count="18">
    <mergeCell ref="A22:B22"/>
    <mergeCell ref="A23:B23"/>
    <mergeCell ref="A12:K12"/>
    <mergeCell ref="A15:B15"/>
    <mergeCell ref="A16:B16"/>
    <mergeCell ref="A17:B17"/>
    <mergeCell ref="A18:B18"/>
    <mergeCell ref="A20:B20"/>
    <mergeCell ref="A21:B21"/>
    <mergeCell ref="A1:O1"/>
    <mergeCell ref="C13:C14"/>
    <mergeCell ref="A3:O3"/>
    <mergeCell ref="A4:O4"/>
    <mergeCell ref="A6:O6"/>
    <mergeCell ref="A7:O7"/>
    <mergeCell ref="A8:O8"/>
    <mergeCell ref="A9:O9"/>
    <mergeCell ref="A10:O10"/>
  </mergeCells>
  <hyperlinks>
    <hyperlink ref="A2" location="'Table of Contents'!A1" display="return to table of contents" xr:uid="{A87D602B-16AA-4C3D-96A0-5AE2E8B58E0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B18A-94CD-4B07-8294-F4C2BC398D42}">
  <dimension ref="A1:P39"/>
  <sheetViews>
    <sheetView showGridLines="0" zoomScale="110" zoomScaleNormal="110" workbookViewId="0">
      <selection activeCell="C12" sqref="C12"/>
    </sheetView>
  </sheetViews>
  <sheetFormatPr defaultRowHeight="14.45"/>
  <cols>
    <col min="1" max="1" width="48" bestFit="1" customWidth="1"/>
    <col min="2" max="2" width="22.5703125" customWidth="1"/>
    <col min="3" max="3" width="21.42578125" customWidth="1"/>
    <col min="4" max="4" width="23.85546875" customWidth="1"/>
    <col min="5" max="6" width="21.42578125" customWidth="1"/>
    <col min="7" max="7" width="21.42578125" style="10" customWidth="1"/>
    <col min="8" max="16" width="8.85546875" style="10"/>
  </cols>
  <sheetData>
    <row r="1" spans="1:11" ht="54.6" customHeight="1">
      <c r="A1" s="430" t="s">
        <v>113</v>
      </c>
      <c r="B1" s="431"/>
      <c r="C1" s="431"/>
      <c r="D1" s="431"/>
      <c r="E1" s="431"/>
      <c r="F1" s="431"/>
      <c r="G1" s="152"/>
    </row>
    <row r="2" spans="1:11" ht="14.45" customHeight="1">
      <c r="A2" s="471" t="s">
        <v>18</v>
      </c>
      <c r="B2" s="472"/>
      <c r="C2" s="472"/>
      <c r="D2" s="472"/>
      <c r="E2" s="472"/>
      <c r="F2" s="472"/>
      <c r="G2" s="300"/>
    </row>
    <row r="3" spans="1:11" ht="14.45" customHeight="1">
      <c r="A3" s="398" t="s">
        <v>19</v>
      </c>
      <c r="B3" s="399"/>
      <c r="C3" s="399"/>
      <c r="D3" s="399"/>
      <c r="E3" s="399"/>
      <c r="F3" s="399"/>
      <c r="G3" s="153"/>
      <c r="H3" s="35"/>
      <c r="I3" s="35"/>
      <c r="J3" s="35"/>
      <c r="K3" s="35"/>
    </row>
    <row r="4" spans="1:11" ht="37.5" customHeight="1">
      <c r="A4" s="475" t="s">
        <v>114</v>
      </c>
      <c r="B4" s="455"/>
      <c r="C4" s="455"/>
      <c r="D4" s="455"/>
      <c r="E4" s="455"/>
      <c r="F4" s="455"/>
      <c r="G4" s="299"/>
      <c r="H4" s="33"/>
      <c r="I4" s="33"/>
      <c r="J4" s="33"/>
      <c r="K4" s="33"/>
    </row>
    <row r="5" spans="1:11" ht="14.45" customHeight="1">
      <c r="A5" s="296"/>
      <c r="B5" s="297"/>
      <c r="C5" s="297"/>
      <c r="D5" s="297"/>
      <c r="E5" s="297"/>
      <c r="F5" s="297"/>
      <c r="G5" s="298"/>
    </row>
    <row r="6" spans="1:11" ht="18.75" customHeight="1">
      <c r="A6" s="156" t="s">
        <v>22</v>
      </c>
      <c r="B6" s="95"/>
      <c r="C6" s="95"/>
      <c r="D6" s="95"/>
      <c r="E6" s="95"/>
      <c r="F6" s="95"/>
      <c r="G6" s="154"/>
    </row>
    <row r="7" spans="1:11" ht="18.75" customHeight="1">
      <c r="A7" s="393" t="s">
        <v>115</v>
      </c>
      <c r="B7" s="384"/>
      <c r="C7" s="384"/>
      <c r="D7" s="384"/>
      <c r="E7" s="384"/>
      <c r="F7" s="384"/>
      <c r="G7" s="154"/>
    </row>
    <row r="8" spans="1:11" ht="18.75" customHeight="1">
      <c r="A8" s="473" t="s">
        <v>116</v>
      </c>
      <c r="B8" s="474"/>
      <c r="C8" s="474"/>
      <c r="D8" s="474"/>
      <c r="E8" s="474"/>
      <c r="F8" s="474"/>
      <c r="G8" s="155"/>
    </row>
    <row r="9" spans="1:11" ht="15" thickBot="1">
      <c r="A9" s="43"/>
      <c r="B9" s="36"/>
      <c r="C9" s="36"/>
      <c r="D9" s="36"/>
      <c r="E9" s="36"/>
      <c r="F9" s="36"/>
      <c r="G9" s="42"/>
    </row>
    <row r="10" spans="1:11" ht="43.15">
      <c r="A10" s="123" t="s">
        <v>117</v>
      </c>
      <c r="B10" s="149" t="s">
        <v>118</v>
      </c>
      <c r="C10" s="149" t="s">
        <v>119</v>
      </c>
      <c r="D10" s="150" t="s">
        <v>120</v>
      </c>
      <c r="E10" s="151" t="s">
        <v>121</v>
      </c>
      <c r="F10" s="5"/>
      <c r="G10" s="42"/>
    </row>
    <row r="11" spans="1:11" ht="15.6" customHeight="1">
      <c r="A11" s="157" t="s">
        <v>122</v>
      </c>
      <c r="B11" s="165">
        <v>1</v>
      </c>
      <c r="C11" s="159"/>
      <c r="D11" s="167">
        <v>0.44</v>
      </c>
      <c r="E11" s="170">
        <v>1</v>
      </c>
      <c r="F11" s="25"/>
      <c r="G11" s="42"/>
    </row>
    <row r="12" spans="1:11" ht="15.6" customHeight="1">
      <c r="A12" s="157" t="s">
        <v>123</v>
      </c>
      <c r="B12" s="165">
        <v>1</v>
      </c>
      <c r="C12" s="159"/>
      <c r="D12" s="168">
        <v>0.47699999999999998</v>
      </c>
      <c r="E12" s="170">
        <v>1</v>
      </c>
      <c r="F12" s="5"/>
      <c r="G12" s="42"/>
    </row>
    <row r="13" spans="1:11" ht="15.6" customHeight="1">
      <c r="A13" s="157" t="s">
        <v>124</v>
      </c>
      <c r="B13" s="165">
        <v>1</v>
      </c>
      <c r="C13" s="159"/>
      <c r="D13" s="168">
        <v>0.41499999999999998</v>
      </c>
      <c r="E13" s="170">
        <v>1</v>
      </c>
      <c r="F13" s="5"/>
      <c r="G13" s="42"/>
    </row>
    <row r="14" spans="1:11" ht="15.6" customHeight="1">
      <c r="A14" s="157" t="s">
        <v>125</v>
      </c>
      <c r="B14" s="165">
        <v>1</v>
      </c>
      <c r="C14" s="159"/>
      <c r="D14" s="168">
        <v>0.223</v>
      </c>
      <c r="E14" s="170">
        <v>1</v>
      </c>
      <c r="F14" s="5"/>
      <c r="G14" s="42"/>
    </row>
    <row r="15" spans="1:11" ht="15.6" customHeight="1">
      <c r="A15" s="157" t="s">
        <v>126</v>
      </c>
      <c r="B15" s="165">
        <v>1</v>
      </c>
      <c r="C15" s="159"/>
      <c r="D15" s="168">
        <v>0.318</v>
      </c>
      <c r="E15" s="170">
        <v>1</v>
      </c>
      <c r="F15" s="5"/>
      <c r="G15" s="42"/>
    </row>
    <row r="16" spans="1:11" ht="15.6" customHeight="1">
      <c r="A16" s="157" t="s">
        <v>127</v>
      </c>
      <c r="B16" s="165">
        <v>1</v>
      </c>
      <c r="C16" s="159"/>
      <c r="D16" s="168">
        <v>0.59599999999999997</v>
      </c>
      <c r="E16" s="170">
        <v>1</v>
      </c>
      <c r="F16" s="5"/>
      <c r="G16" s="42"/>
    </row>
    <row r="17" spans="1:7" ht="15.6" customHeight="1" thickBot="1">
      <c r="A17" s="158" t="s">
        <v>128</v>
      </c>
      <c r="B17" s="166">
        <v>1</v>
      </c>
      <c r="C17" s="160"/>
      <c r="D17" s="169">
        <v>0.29799999999999999</v>
      </c>
      <c r="E17" s="171">
        <v>1</v>
      </c>
      <c r="F17" s="5"/>
      <c r="G17" s="42"/>
    </row>
    <row r="18" spans="1:7">
      <c r="A18" s="43"/>
      <c r="B18" s="20"/>
      <c r="C18" s="20"/>
      <c r="D18" s="20"/>
      <c r="E18" s="20"/>
      <c r="F18" s="20"/>
      <c r="G18" s="42"/>
    </row>
    <row r="19" spans="1:7">
      <c r="A19" s="43"/>
      <c r="B19" s="20"/>
      <c r="C19" s="20"/>
      <c r="D19" s="20"/>
      <c r="E19" s="20"/>
      <c r="F19" s="20"/>
      <c r="G19" s="42"/>
    </row>
    <row r="20" spans="1:7">
      <c r="A20" s="43"/>
      <c r="B20" s="20"/>
      <c r="C20" s="20"/>
      <c r="D20" s="20"/>
      <c r="E20" s="20"/>
      <c r="F20" s="20"/>
      <c r="G20" s="42"/>
    </row>
    <row r="21" spans="1:7">
      <c r="A21" s="44" t="s">
        <v>129</v>
      </c>
      <c r="B21" s="36"/>
      <c r="C21" s="5"/>
      <c r="D21" s="36"/>
      <c r="E21" s="36"/>
      <c r="F21" s="36"/>
      <c r="G21" s="42"/>
    </row>
    <row r="22" spans="1:7" ht="28.9" customHeight="1">
      <c r="A22" s="161" t="s">
        <v>130</v>
      </c>
      <c r="B22" s="162">
        <f>2000/2205</f>
        <v>0.90702947845804993</v>
      </c>
      <c r="C22" s="5"/>
      <c r="D22" s="5"/>
      <c r="E22" s="5"/>
      <c r="F22" s="5"/>
      <c r="G22" s="42"/>
    </row>
    <row r="23" spans="1:7">
      <c r="A23" s="43"/>
      <c r="B23" s="36"/>
      <c r="C23" s="36"/>
      <c r="D23" s="36"/>
      <c r="E23" s="36"/>
      <c r="F23" s="36"/>
      <c r="G23" s="42"/>
    </row>
    <row r="24" spans="1:7">
      <c r="A24" s="43"/>
      <c r="B24" s="36"/>
      <c r="C24" s="36"/>
      <c r="D24" s="36"/>
      <c r="E24" s="36"/>
      <c r="F24" s="36"/>
      <c r="G24" s="42"/>
    </row>
    <row r="25" spans="1:7">
      <c r="A25" s="43"/>
      <c r="B25" s="36"/>
      <c r="C25" s="36"/>
      <c r="D25" s="36"/>
      <c r="E25" s="36"/>
      <c r="F25" s="36"/>
      <c r="G25" s="42"/>
    </row>
    <row r="26" spans="1:7" ht="15.6" customHeight="1">
      <c r="A26" s="163" t="s">
        <v>131</v>
      </c>
      <c r="B26" s="164">
        <f>SUMPRODUCT(B11:B17,C11:C17,D11:D17,E11:E17)*B22</f>
        <v>0</v>
      </c>
      <c r="C26" s="5"/>
      <c r="D26" s="5"/>
      <c r="E26" s="5"/>
      <c r="F26" s="5"/>
      <c r="G26" s="42"/>
    </row>
    <row r="27" spans="1:7">
      <c r="A27" s="43"/>
      <c r="B27" s="5"/>
      <c r="C27" s="5"/>
      <c r="D27" s="5"/>
      <c r="E27" s="5"/>
      <c r="F27" s="5"/>
      <c r="G27" s="42"/>
    </row>
    <row r="28" spans="1:7">
      <c r="A28" s="43"/>
      <c r="B28" s="5"/>
      <c r="C28" s="5"/>
      <c r="D28" s="5"/>
      <c r="E28" s="5"/>
      <c r="F28" s="5"/>
      <c r="G28" s="42"/>
    </row>
    <row r="29" spans="1:7">
      <c r="A29" s="43"/>
      <c r="B29" s="5"/>
      <c r="C29" s="5"/>
      <c r="D29" s="5"/>
      <c r="E29" s="5"/>
      <c r="F29" s="5"/>
      <c r="G29" s="42"/>
    </row>
    <row r="30" spans="1:7">
      <c r="A30" s="43"/>
      <c r="B30" s="5"/>
      <c r="C30" s="5"/>
      <c r="D30" s="5"/>
      <c r="E30" s="5"/>
      <c r="F30" s="5"/>
      <c r="G30" s="42"/>
    </row>
    <row r="31" spans="1:7" ht="15" thickBot="1">
      <c r="A31" s="45"/>
      <c r="B31" s="3"/>
      <c r="C31" s="3"/>
      <c r="D31" s="3"/>
      <c r="E31" s="3"/>
      <c r="F31" s="3"/>
      <c r="G31" s="46"/>
    </row>
    <row r="32" spans="1:7">
      <c r="A32" s="10"/>
    </row>
    <row r="33" spans="1:1">
      <c r="A33" s="10"/>
    </row>
    <row r="34" spans="1:1">
      <c r="A34" s="10"/>
    </row>
    <row r="35" spans="1:1">
      <c r="A35" s="10"/>
    </row>
    <row r="36" spans="1:1">
      <c r="A36" s="10"/>
    </row>
    <row r="37" spans="1:1">
      <c r="A37" s="10"/>
    </row>
    <row r="38" spans="1:1">
      <c r="A38" s="10"/>
    </row>
    <row r="39" spans="1:1">
      <c r="A39" s="10"/>
    </row>
  </sheetData>
  <sheetProtection algorithmName="SHA-512" hashValue="hC9a2ONa4WFC/lpI1Yk3xYt9uJqLqdWtauh+Q+LolT1QD2ABmxmUuShM5WYuP1uPyhN2x7Y5c2M3dPpgnERLhg==" saltValue="9iNd+f/csuaJFZrKYss4Aw==" spinCount="100000" sheet="1" objects="1" scenarios="1"/>
  <mergeCells count="6">
    <mergeCell ref="A1:F1"/>
    <mergeCell ref="A2:F2"/>
    <mergeCell ref="A7:F7"/>
    <mergeCell ref="A8:F8"/>
    <mergeCell ref="A3:F3"/>
    <mergeCell ref="A4:F4"/>
  </mergeCells>
  <hyperlinks>
    <hyperlink ref="A2:F2" location="'Table of Contents'!A1" display="return to table of contents" xr:uid="{E7B1D86F-BA77-473F-900A-751EAEA8B773}"/>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E4907-A35B-4A3B-B06A-0D0FC820FA9F}">
  <dimension ref="A1:K65"/>
  <sheetViews>
    <sheetView showGridLines="0" zoomScaleNormal="100" workbookViewId="0">
      <selection activeCell="A12" sqref="A12:D12"/>
    </sheetView>
  </sheetViews>
  <sheetFormatPr defaultRowHeight="14.45"/>
  <cols>
    <col min="1" max="1" width="33" customWidth="1"/>
    <col min="2" max="2" width="19.7109375" customWidth="1"/>
    <col min="3" max="3" width="21.5703125" customWidth="1"/>
    <col min="4" max="4" width="18.140625" customWidth="1"/>
    <col min="5" max="5" width="15" customWidth="1"/>
    <col min="6" max="6" width="15.5703125" customWidth="1"/>
    <col min="7" max="7" width="13.140625" customWidth="1"/>
    <col min="8" max="8" width="17.42578125" customWidth="1"/>
  </cols>
  <sheetData>
    <row r="1" spans="1:11" ht="54.6" customHeight="1">
      <c r="A1" s="430" t="s">
        <v>14</v>
      </c>
      <c r="B1" s="431"/>
      <c r="C1" s="431"/>
      <c r="D1" s="431"/>
      <c r="E1" s="431"/>
      <c r="F1" s="431"/>
      <c r="G1" s="135"/>
      <c r="H1" s="136"/>
    </row>
    <row r="2" spans="1:11">
      <c r="A2" s="180" t="s">
        <v>18</v>
      </c>
      <c r="B2" s="25"/>
      <c r="C2" s="25"/>
      <c r="D2" s="25"/>
      <c r="E2" s="25"/>
      <c r="F2" s="25"/>
      <c r="G2" s="25"/>
      <c r="H2" s="26"/>
    </row>
    <row r="3" spans="1:11">
      <c r="A3" s="478" t="s">
        <v>19</v>
      </c>
      <c r="B3" s="478"/>
      <c r="C3" s="478"/>
      <c r="D3" s="478"/>
      <c r="E3" s="478"/>
      <c r="F3" s="478"/>
      <c r="G3" s="172"/>
      <c r="H3" s="173"/>
      <c r="I3" s="35"/>
      <c r="J3" s="35"/>
      <c r="K3" s="35"/>
    </row>
    <row r="4" spans="1:11" ht="45.75" customHeight="1">
      <c r="A4" s="455" t="s">
        <v>132</v>
      </c>
      <c r="B4" s="455"/>
      <c r="C4" s="455"/>
      <c r="D4" s="455"/>
      <c r="E4" s="455"/>
      <c r="F4" s="455"/>
      <c r="G4" s="174"/>
      <c r="H4" s="175"/>
      <c r="I4" s="33"/>
      <c r="J4" s="33"/>
      <c r="K4" s="33"/>
    </row>
    <row r="5" spans="1:11" ht="15" customHeight="1">
      <c r="A5" s="38"/>
      <c r="B5" s="39"/>
      <c r="C5" s="39"/>
      <c r="D5" s="39"/>
      <c r="E5" s="39"/>
      <c r="F5" s="39"/>
      <c r="G5" s="39"/>
      <c r="H5" s="40"/>
      <c r="I5" s="39"/>
      <c r="J5" s="39"/>
      <c r="K5" s="39"/>
    </row>
    <row r="6" spans="1:11">
      <c r="A6" s="116" t="s">
        <v>22</v>
      </c>
      <c r="B6" s="117"/>
      <c r="C6" s="117"/>
      <c r="D6" s="117"/>
      <c r="E6" s="117"/>
      <c r="F6" s="117"/>
      <c r="G6" s="117"/>
      <c r="H6" s="118"/>
    </row>
    <row r="7" spans="1:11" ht="18.75" customHeight="1">
      <c r="A7" s="393" t="s">
        <v>133</v>
      </c>
      <c r="B7" s="384"/>
      <c r="C7" s="384"/>
      <c r="D7" s="384"/>
      <c r="E7" s="384"/>
      <c r="F7" s="384"/>
      <c r="G7" s="95"/>
      <c r="H7" s="178"/>
    </row>
    <row r="8" spans="1:11" ht="32.25" customHeight="1">
      <c r="A8" s="390" t="s">
        <v>134</v>
      </c>
      <c r="B8" s="391"/>
      <c r="C8" s="391"/>
      <c r="D8" s="391"/>
      <c r="E8" s="391"/>
      <c r="F8" s="391"/>
      <c r="G8" s="95"/>
      <c r="H8" s="178"/>
    </row>
    <row r="9" spans="1:11" ht="32.25" customHeight="1">
      <c r="A9" s="395" t="s">
        <v>135</v>
      </c>
      <c r="B9" s="396"/>
      <c r="C9" s="396"/>
      <c r="D9" s="396"/>
      <c r="E9" s="396"/>
      <c r="F9" s="396"/>
      <c r="G9" s="176"/>
      <c r="H9" s="177"/>
      <c r="I9" s="4"/>
      <c r="J9" s="4"/>
    </row>
    <row r="10" spans="1:11" ht="86.45">
      <c r="A10" s="301" t="s">
        <v>136</v>
      </c>
      <c r="B10" s="302"/>
      <c r="C10" s="302"/>
      <c r="D10" s="302"/>
      <c r="E10" s="302"/>
      <c r="F10" s="302"/>
      <c r="G10" s="303"/>
      <c r="H10" s="304"/>
      <c r="I10" s="4"/>
      <c r="J10" s="4"/>
    </row>
    <row r="11" spans="1:11">
      <c r="A11" s="1"/>
      <c r="B11" s="5"/>
      <c r="C11" s="5"/>
      <c r="D11" s="5"/>
      <c r="E11" s="5"/>
      <c r="F11" s="5"/>
      <c r="G11" s="5"/>
      <c r="H11" s="19"/>
    </row>
    <row r="12" spans="1:11" ht="18">
      <c r="A12" s="476" t="s">
        <v>137</v>
      </c>
      <c r="B12" s="477"/>
      <c r="C12" s="477"/>
      <c r="D12" s="477"/>
      <c r="E12" s="310"/>
      <c r="F12" s="5"/>
      <c r="G12" s="5"/>
      <c r="H12" s="19"/>
    </row>
    <row r="13" spans="1:11" ht="15" thickBot="1">
      <c r="A13" s="1"/>
      <c r="B13" s="5"/>
      <c r="C13" s="245"/>
      <c r="D13" s="5"/>
      <c r="E13" s="5"/>
      <c r="F13" s="5"/>
      <c r="G13" s="5"/>
      <c r="H13" s="19"/>
    </row>
    <row r="14" spans="1:11" ht="16.899999999999999" thickBot="1">
      <c r="A14" s="179" t="s">
        <v>138</v>
      </c>
      <c r="B14" s="307"/>
      <c r="C14" s="118" t="s">
        <v>139</v>
      </c>
      <c r="D14" s="5"/>
      <c r="E14" s="5"/>
      <c r="F14" s="5"/>
      <c r="G14" s="5"/>
      <c r="H14" s="19"/>
    </row>
    <row r="15" spans="1:11" ht="16.149999999999999">
      <c r="A15" s="179" t="s">
        <v>140</v>
      </c>
      <c r="B15" s="305">
        <f>B14*12</f>
        <v>0</v>
      </c>
      <c r="C15" s="306" t="s">
        <v>139</v>
      </c>
      <c r="D15" s="5"/>
      <c r="E15" s="5"/>
      <c r="F15" s="5"/>
      <c r="G15" s="5"/>
      <c r="H15" s="19"/>
    </row>
    <row r="16" spans="1:11">
      <c r="A16" s="1"/>
      <c r="B16" s="5"/>
      <c r="C16" s="5"/>
      <c r="D16" s="5"/>
      <c r="E16" s="5"/>
      <c r="F16" s="5"/>
      <c r="G16" s="5"/>
      <c r="H16" s="19"/>
    </row>
    <row r="17" spans="1:8" ht="16.149999999999999">
      <c r="A17" s="181" t="s">
        <v>141</v>
      </c>
      <c r="B17" s="182" t="s">
        <v>142</v>
      </c>
      <c r="C17" s="183" t="s">
        <v>143</v>
      </c>
      <c r="D17" s="182" t="s">
        <v>144</v>
      </c>
      <c r="E17" s="5"/>
      <c r="F17" s="5"/>
      <c r="G17" s="5"/>
      <c r="H17" s="19"/>
    </row>
    <row r="18" spans="1:8">
      <c r="A18" s="184"/>
      <c r="B18" s="185" t="str">
        <f>IFERROR(VLOOKUP(Table5[[#This Row],[F-gas type]], Table9[#All], 2,FALSE), "")</f>
        <v/>
      </c>
      <c r="C18" s="185" t="str">
        <f>IFERROR(VLOOKUP(Table5[[#This Row],[F-gas type]], Table9[#All], 3,FALSE), "")</f>
        <v/>
      </c>
      <c r="D18" s="185" t="str">
        <f>IFERROR((Table5[[#This Row],[EF (kg/m2)]]*Table5[[#This Row],[GWP]]*B15*0.001)," ")</f>
        <v xml:space="preserve"> </v>
      </c>
      <c r="E18" s="5"/>
      <c r="F18" s="5"/>
      <c r="G18" s="5"/>
      <c r="H18" s="19"/>
    </row>
    <row r="19" spans="1:8" s="49" customFormat="1">
      <c r="A19" s="76"/>
      <c r="B19" s="53" t="str">
        <f>IFERROR(VLOOKUP(Table5[[#This Row],[F-gas type]], Table9[#All], 2,FALSE), "")</f>
        <v/>
      </c>
      <c r="C19" s="53" t="str">
        <f>IFERROR(VLOOKUP(Table5[[#This Row],[F-gas type]], Table9[#All], 3,FALSE), "")</f>
        <v/>
      </c>
      <c r="D19" s="53" t="str">
        <f>IFERROR((Table5[[#This Row],[EF (kg/m2)]]*Table5[[#This Row],[GWP]]*B16*0.001)," ")</f>
        <v xml:space="preserve"> </v>
      </c>
      <c r="E19" s="25"/>
      <c r="F19" s="25"/>
      <c r="G19" s="25"/>
      <c r="H19" s="26"/>
    </row>
    <row r="20" spans="1:8">
      <c r="A20" s="184"/>
      <c r="B20" s="185" t="str">
        <f>IFERROR(VLOOKUP(Table5[[#This Row],[F-gas type]], Table9[#All], 2,FALSE), "")</f>
        <v/>
      </c>
      <c r="C20" s="185" t="str">
        <f>IFERROR(VLOOKUP(Table5[[#This Row],[F-gas type]], Table9[#All], 3,FALSE), "")</f>
        <v/>
      </c>
      <c r="D20" s="185" t="str">
        <f>IFERROR((Table5[[#This Row],[EF (kg/m2)]]*Table5[[#This Row],[GWP]]*B17*0.001)," ")</f>
        <v xml:space="preserve"> </v>
      </c>
      <c r="E20" s="5"/>
      <c r="F20" s="5"/>
      <c r="G20" s="5"/>
      <c r="H20" s="19"/>
    </row>
    <row r="21" spans="1:8" s="49" customFormat="1">
      <c r="A21" s="59"/>
      <c r="B21" s="53" t="str">
        <f>IFERROR(VLOOKUP(Table5[[#This Row],[F-gas type]], Table9[#All], 2,FALSE), "")</f>
        <v/>
      </c>
      <c r="C21" s="53" t="str">
        <f>IFERROR(VLOOKUP(Table5[[#This Row],[F-gas type]], Table9[#All], 3,FALSE), "")</f>
        <v/>
      </c>
      <c r="D21" s="53" t="str">
        <f>IFERROR((Table5[[#This Row],[EF (kg/m2)]]*Table5[[#This Row],[GWP]]*B18*0.001)," ")</f>
        <v xml:space="preserve"> </v>
      </c>
      <c r="E21" s="25"/>
      <c r="F21" s="25"/>
      <c r="G21" s="25"/>
      <c r="H21" s="26"/>
    </row>
    <row r="22" spans="1:8">
      <c r="A22" s="184"/>
      <c r="B22" s="185" t="str">
        <f>IFERROR(VLOOKUP(Table5[[#This Row],[F-gas type]], Table9[#All], 2,FALSE), "")</f>
        <v/>
      </c>
      <c r="C22" s="185" t="str">
        <f>IFERROR(VLOOKUP(Table5[[#This Row],[F-gas type]], Table9[#All], 3,FALSE), "")</f>
        <v/>
      </c>
      <c r="D22" s="185" t="str">
        <f>IFERROR((Table5[[#This Row],[EF (kg/m2)]]*Table5[[#This Row],[GWP]]*B19*0.001)," ")</f>
        <v xml:space="preserve"> </v>
      </c>
      <c r="E22" s="5"/>
      <c r="F22" s="5"/>
      <c r="G22" s="5"/>
      <c r="H22" s="19"/>
    </row>
    <row r="23" spans="1:8" s="49" customFormat="1">
      <c r="A23" s="60"/>
      <c r="B23" s="54" t="str">
        <f>IFERROR(VLOOKUP(Table5[[#This Row],[F-gas type]], Table9[#All], 2,FALSE), "")</f>
        <v/>
      </c>
      <c r="C23" s="53" t="str">
        <f>IFERROR(VLOOKUP(Table5[[#This Row],[F-gas type]], Table9[#All], 3,FALSE), "")</f>
        <v/>
      </c>
      <c r="D23" s="53" t="str">
        <f>IFERROR((Table5[[#This Row],[EF (kg/m2)]]*Table5[[#This Row],[GWP]]*B20*0.001)," ")</f>
        <v xml:space="preserve"> </v>
      </c>
      <c r="E23" s="25"/>
      <c r="F23" s="25"/>
      <c r="G23" s="25"/>
      <c r="H23" s="26"/>
    </row>
    <row r="24" spans="1:8" ht="15.6">
      <c r="A24" s="24"/>
      <c r="B24" s="25"/>
      <c r="C24" s="308" t="s">
        <v>145</v>
      </c>
      <c r="D24" s="95">
        <f>1.1*SUM(Table5[Ei (MT CO2e)])</f>
        <v>0</v>
      </c>
      <c r="E24" s="5"/>
      <c r="F24" s="5"/>
      <c r="G24" s="5"/>
      <c r="H24" s="19"/>
    </row>
    <row r="25" spans="1:8">
      <c r="A25" s="24"/>
      <c r="B25" s="25"/>
      <c r="C25" s="25"/>
      <c r="D25" s="5"/>
      <c r="E25" s="5"/>
      <c r="F25" s="5"/>
      <c r="G25" s="5"/>
      <c r="H25" s="19"/>
    </row>
    <row r="26" spans="1:8" ht="18">
      <c r="A26" s="476" t="s">
        <v>146</v>
      </c>
      <c r="B26" s="477"/>
      <c r="C26" s="477"/>
      <c r="D26" s="477"/>
      <c r="E26" s="5"/>
      <c r="F26" s="5"/>
      <c r="G26" s="5"/>
      <c r="H26" s="19"/>
    </row>
    <row r="27" spans="1:8" ht="15" thickBot="1">
      <c r="A27" s="1"/>
      <c r="B27" s="5"/>
      <c r="C27" s="5"/>
      <c r="D27" s="5"/>
      <c r="E27" s="5"/>
      <c r="F27" s="5"/>
      <c r="G27" s="5"/>
      <c r="H27" s="19"/>
    </row>
    <row r="28" spans="1:8" ht="16.899999999999999" thickBot="1">
      <c r="A28" s="179" t="s">
        <v>138</v>
      </c>
      <c r="B28" s="307"/>
      <c r="C28" s="118" t="s">
        <v>139</v>
      </c>
      <c r="D28" s="5"/>
      <c r="E28" s="5"/>
      <c r="F28" s="5"/>
      <c r="G28" s="5"/>
      <c r="H28" s="19"/>
    </row>
    <row r="29" spans="1:8" ht="16.149999999999999">
      <c r="A29" s="179" t="s">
        <v>140</v>
      </c>
      <c r="B29" s="305">
        <f>B28*12</f>
        <v>0</v>
      </c>
      <c r="C29" s="306" t="s">
        <v>139</v>
      </c>
      <c r="D29" s="5"/>
      <c r="E29" s="5"/>
      <c r="F29" s="5"/>
      <c r="G29" s="5"/>
      <c r="H29" s="19"/>
    </row>
    <row r="30" spans="1:8">
      <c r="A30" s="1"/>
      <c r="B30" s="5"/>
      <c r="C30" s="5"/>
      <c r="D30" s="5"/>
      <c r="E30" s="5"/>
      <c r="F30" s="25"/>
      <c r="G30" s="5"/>
      <c r="H30" s="19"/>
    </row>
    <row r="31" spans="1:8" ht="16.149999999999999">
      <c r="A31" s="181" t="s">
        <v>141</v>
      </c>
      <c r="B31" s="182" t="s">
        <v>142</v>
      </c>
      <c r="C31" s="183" t="s">
        <v>143</v>
      </c>
      <c r="D31" s="182" t="s">
        <v>144</v>
      </c>
      <c r="E31" s="5"/>
      <c r="F31" s="5"/>
      <c r="G31" s="5"/>
      <c r="H31" s="19"/>
    </row>
    <row r="32" spans="1:8">
      <c r="A32" s="184"/>
      <c r="B32" s="185" t="str">
        <f>IFERROR(VLOOKUP(Table6[[#This Row],[F-gas type]], Table11[#All], 2,FALSE), "")</f>
        <v/>
      </c>
      <c r="C32" s="127" t="str">
        <f>IFERROR(VLOOKUP(Table6[[#This Row],[F-gas type]], Table11[#All], 3,FALSE), "")</f>
        <v/>
      </c>
      <c r="D32" s="185" t="str">
        <f>IFERROR((Table6[[#This Row],[EF (kg/m2)]]*Table6[[#This Row],[GWP]]*0.001*$B$29)," ")</f>
        <v xml:space="preserve"> </v>
      </c>
      <c r="E32" s="5"/>
      <c r="F32" s="5"/>
      <c r="G32" s="5"/>
      <c r="H32" s="19"/>
    </row>
    <row r="33" spans="1:8" s="49" customFormat="1">
      <c r="A33" s="59"/>
      <c r="B33" s="53" t="str">
        <f>IFERROR(VLOOKUP(Table6[[#This Row],[F-gas type]], Table11[#All], 2,FALSE), "")</f>
        <v/>
      </c>
      <c r="C33" s="52" t="str">
        <f>IFERROR(VLOOKUP(Table6[[#This Row],[F-gas type]], Table11[#All], 3,FALSE), "")</f>
        <v/>
      </c>
      <c r="D33" s="53" t="str">
        <f>IFERROR((Table6[[#This Row],[EF (kg/m2)]]*Table6[[#This Row],[GWP]]*0.001*$B$29)," ")</f>
        <v xml:space="preserve"> </v>
      </c>
      <c r="E33" s="25"/>
      <c r="F33" s="25"/>
      <c r="G33" s="25"/>
      <c r="H33" s="26"/>
    </row>
    <row r="34" spans="1:8">
      <c r="A34" s="184"/>
      <c r="B34" s="185" t="str">
        <f>IFERROR(VLOOKUP(Table6[[#This Row],[F-gas type]], Table11[#All], 2,FALSE), "")</f>
        <v/>
      </c>
      <c r="C34" s="127" t="str">
        <f>IFERROR(VLOOKUP(Table6[[#This Row],[F-gas type]], Table11[#All], 3,FALSE), "")</f>
        <v/>
      </c>
      <c r="D34" s="185" t="str">
        <f>IFERROR((Table6[[#This Row],[EF (kg/m2)]]*Table6[[#This Row],[GWP]]*0.001*$B$29)," ")</f>
        <v xml:space="preserve"> </v>
      </c>
      <c r="E34" s="5"/>
      <c r="F34" s="5"/>
      <c r="G34" s="5"/>
      <c r="H34" s="19"/>
    </row>
    <row r="35" spans="1:8" ht="15.6">
      <c r="A35" s="1"/>
      <c r="B35" s="5"/>
      <c r="C35" s="308" t="s">
        <v>145</v>
      </c>
      <c r="D35" s="95">
        <f>SUM(Table6[Ei (MT CO2e)])</f>
        <v>0</v>
      </c>
      <c r="E35" s="5"/>
      <c r="F35" s="5"/>
      <c r="G35" s="5"/>
      <c r="H35" s="19"/>
    </row>
    <row r="36" spans="1:8">
      <c r="A36" s="1"/>
      <c r="B36" s="5"/>
      <c r="C36" s="77"/>
      <c r="D36" s="5"/>
      <c r="E36" s="5"/>
      <c r="F36" s="5"/>
      <c r="G36" s="5"/>
      <c r="H36" s="19"/>
    </row>
    <row r="37" spans="1:8" ht="18">
      <c r="A37" s="476" t="s">
        <v>147</v>
      </c>
      <c r="B37" s="477"/>
      <c r="C37" s="477"/>
      <c r="D37" s="477"/>
      <c r="E37" s="5"/>
      <c r="F37" s="5"/>
      <c r="G37" s="5"/>
      <c r="H37" s="19"/>
    </row>
    <row r="38" spans="1:8" ht="14.45" customHeight="1" thickBot="1">
      <c r="A38" s="352"/>
      <c r="B38" s="353"/>
      <c r="C38" s="353"/>
      <c r="D38" s="32"/>
      <c r="E38" s="5"/>
      <c r="F38" s="5"/>
      <c r="G38" s="5"/>
      <c r="H38" s="19"/>
    </row>
    <row r="39" spans="1:8" ht="19.5" customHeight="1" thickBot="1">
      <c r="A39" s="179" t="s">
        <v>138</v>
      </c>
      <c r="B39" s="307"/>
      <c r="C39" s="118" t="s">
        <v>139</v>
      </c>
      <c r="D39" s="32"/>
      <c r="E39" s="5"/>
      <c r="F39" s="5"/>
      <c r="G39" s="5"/>
      <c r="H39" s="19"/>
    </row>
    <row r="40" spans="1:8" ht="16.149999999999999">
      <c r="A40" s="179" t="s">
        <v>140</v>
      </c>
      <c r="B40" s="305">
        <f>B39*12</f>
        <v>0</v>
      </c>
      <c r="C40" s="306" t="s">
        <v>139</v>
      </c>
      <c r="D40" s="5"/>
      <c r="E40" s="5"/>
      <c r="F40" s="5"/>
      <c r="G40" s="5"/>
      <c r="H40" s="19"/>
    </row>
    <row r="41" spans="1:8">
      <c r="A41" s="41"/>
      <c r="B41" s="25"/>
      <c r="C41" s="5"/>
      <c r="D41" s="5"/>
      <c r="E41" s="5"/>
      <c r="F41" s="5"/>
      <c r="G41" s="5"/>
      <c r="H41" s="19"/>
    </row>
    <row r="42" spans="1:8" ht="16.149999999999999">
      <c r="A42" s="181" t="s">
        <v>141</v>
      </c>
      <c r="B42" s="182" t="s">
        <v>142</v>
      </c>
      <c r="C42" s="183" t="s">
        <v>143</v>
      </c>
      <c r="D42" s="182" t="s">
        <v>144</v>
      </c>
      <c r="E42" s="5"/>
      <c r="F42" s="5"/>
      <c r="G42" s="5"/>
      <c r="H42" s="19"/>
    </row>
    <row r="43" spans="1:8" s="49" customFormat="1">
      <c r="A43" s="184"/>
      <c r="B43" s="185" t="str">
        <f>IFERROR(VLOOKUP(Table7[[#This Row],[F-gas type]], Table10[#All], 2,FALSE), "")</f>
        <v/>
      </c>
      <c r="C43" s="127" t="str">
        <f>IFERROR(VLOOKUP(Table7[[#This Row],[F-gas type]], Table10[#All], 3,FALSE), "")</f>
        <v/>
      </c>
      <c r="D43" s="185" t="str">
        <f>IFERROR((Table7[[#This Row],[EF (kg/m2)]]*Table7[[#This Row],[GWP]]*$B$40*0.000001), " ")</f>
        <v xml:space="preserve"> </v>
      </c>
      <c r="E43" s="25"/>
      <c r="F43" s="25"/>
      <c r="G43" s="25"/>
      <c r="H43" s="26"/>
    </row>
    <row r="44" spans="1:8">
      <c r="A44" s="59"/>
      <c r="B44" s="53" t="str">
        <f>IFERROR(VLOOKUP(Table7[[#This Row],[F-gas type]], Table10[#All], 2,FALSE), "")</f>
        <v/>
      </c>
      <c r="C44" s="52" t="str">
        <f>IFERROR(VLOOKUP(Table7[[#This Row],[F-gas type]], Table10[#All], 3,FALSE), "")</f>
        <v/>
      </c>
      <c r="D44" s="53" t="str">
        <f>IFERROR((Table7[[#This Row],[EF (kg/m2)]]*Table7[[#This Row],[GWP]]*$B$40*0.000001), " ")</f>
        <v xml:space="preserve"> </v>
      </c>
      <c r="E44" s="5"/>
      <c r="F44" s="5"/>
      <c r="G44" s="5"/>
      <c r="H44" s="19"/>
    </row>
    <row r="45" spans="1:8" s="49" customFormat="1">
      <c r="A45" s="184"/>
      <c r="B45" s="185" t="str">
        <f>IFERROR(VLOOKUP(Table7[[#This Row],[F-gas type]], Table10[#All], 2,FALSE), "")</f>
        <v/>
      </c>
      <c r="C45" s="127" t="str">
        <f>IFERROR(VLOOKUP(Table7[[#This Row],[F-gas type]], Table10[#All], 3,FALSE), "")</f>
        <v/>
      </c>
      <c r="D45" s="185" t="str">
        <f>IFERROR((Table7[[#This Row],[EF (kg/m2)]]*Table7[[#This Row],[GWP]]*$B$40*0.000001), " ")</f>
        <v xml:space="preserve"> </v>
      </c>
      <c r="E45" s="25"/>
      <c r="F45" s="25"/>
      <c r="G45" s="25"/>
      <c r="H45" s="26"/>
    </row>
    <row r="46" spans="1:8">
      <c r="A46" s="59"/>
      <c r="B46" s="53" t="str">
        <f>IFERROR(VLOOKUP(Table7[[#This Row],[F-gas type]], Table10[#All], 2,FALSE), "")</f>
        <v/>
      </c>
      <c r="C46" s="52" t="str">
        <f>IFERROR(VLOOKUP(Table7[[#This Row],[F-gas type]], Table10[#All], 3,FALSE), "")</f>
        <v/>
      </c>
      <c r="D46" s="53" t="str">
        <f>IFERROR((Table7[[#This Row],[EF (kg/m2)]]*Table7[[#This Row],[GWP]]*$B$40*0.000001), " ")</f>
        <v xml:space="preserve"> </v>
      </c>
      <c r="E46" s="5"/>
      <c r="F46" s="5"/>
      <c r="G46" s="5"/>
      <c r="H46" s="19"/>
    </row>
    <row r="47" spans="1:8" s="49" customFormat="1">
      <c r="A47" s="187"/>
      <c r="B47" s="188" t="str">
        <f>IFERROR(VLOOKUP(Table7[[#This Row],[F-gas type]], Table10[#All], 2,FALSE), "")</f>
        <v/>
      </c>
      <c r="C47" s="129" t="str">
        <f>IFERROR(VLOOKUP(Table7[[#This Row],[F-gas type]], Table10[#All], 3,FALSE), "")</f>
        <v/>
      </c>
      <c r="D47" s="185" t="str">
        <f>IFERROR((Table7[[#This Row],[EF (kg/m2)]]*Table7[[#This Row],[GWP]]*$B$40*0.000001), " ")</f>
        <v xml:space="preserve"> </v>
      </c>
      <c r="E47" s="25"/>
      <c r="F47" s="25"/>
      <c r="G47" s="25"/>
      <c r="H47" s="26"/>
    </row>
    <row r="48" spans="1:8" ht="15.6">
      <c r="A48" s="1"/>
      <c r="B48" s="5"/>
      <c r="C48" s="308" t="s">
        <v>145</v>
      </c>
      <c r="D48" s="95">
        <f>SUM(Table7[Ei (MT CO2e)])</f>
        <v>0</v>
      </c>
      <c r="E48" s="5"/>
      <c r="F48" s="5"/>
      <c r="G48" s="5"/>
      <c r="H48" s="19"/>
    </row>
    <row r="49" spans="1:8">
      <c r="A49" s="1"/>
      <c r="B49" s="5"/>
      <c r="C49" s="77"/>
      <c r="D49" s="5"/>
      <c r="E49" s="5"/>
      <c r="F49" s="5"/>
      <c r="G49" s="5"/>
      <c r="H49" s="19"/>
    </row>
    <row r="50" spans="1:8" ht="18">
      <c r="A50" s="476" t="s">
        <v>148</v>
      </c>
      <c r="B50" s="477"/>
      <c r="C50" s="477"/>
      <c r="D50" s="477"/>
      <c r="E50" s="477"/>
      <c r="F50" s="477"/>
      <c r="G50" s="477"/>
      <c r="H50" s="19"/>
    </row>
    <row r="51" spans="1:8">
      <c r="A51" s="1"/>
      <c r="B51" s="5"/>
      <c r="C51" s="5"/>
      <c r="D51" s="5"/>
      <c r="E51" s="5"/>
      <c r="F51" s="5"/>
      <c r="G51" s="5"/>
      <c r="H51" s="19"/>
    </row>
    <row r="52" spans="1:8" ht="15" thickBot="1">
      <c r="A52" s="181" t="s">
        <v>141</v>
      </c>
      <c r="B52" s="189" t="s">
        <v>149</v>
      </c>
      <c r="C52" s="182" t="s">
        <v>150</v>
      </c>
      <c r="D52" s="182" t="s">
        <v>151</v>
      </c>
      <c r="E52" s="182" t="s">
        <v>152</v>
      </c>
      <c r="F52" s="182" t="s">
        <v>143</v>
      </c>
      <c r="G52" s="182" t="s">
        <v>144</v>
      </c>
      <c r="H52" s="19"/>
    </row>
    <row r="53" spans="1:8">
      <c r="A53" s="190"/>
      <c r="B53" s="191"/>
      <c r="C53" s="192" t="str">
        <f>IFERROR((VLOOKUP(Table8[[#This Row],[F-gas type]], Table13[#All], 2, FALSE))," ")</f>
        <v xml:space="preserve"> </v>
      </c>
      <c r="D53" s="185" t="str">
        <f>IFERROR((VLOOKUP(Table8[[#This Row],[F-gas type]], Table13[#All], 3, FALSE))," ")</f>
        <v xml:space="preserve"> </v>
      </c>
      <c r="E53" s="185" t="str">
        <f>IFERROR((VLOOKUP(Table8[[#This Row],[F-gas type]], Table13[#All], 4, FALSE))," ")</f>
        <v xml:space="preserve"> </v>
      </c>
      <c r="F53" s="185" t="str">
        <f>IFERROR((VLOOKUP(Table8[[#This Row],[F-gas type]], Table13[#All], 5, FALSE)), " ")</f>
        <v xml:space="preserve"> </v>
      </c>
      <c r="G53" s="193" t="str">
        <f>IFERROR((Table8[[#This Row],[Consumption (kg)]]*(Table8[[#This Row],[GWP]]*Table8[[#This Row],[Ui emission factor]]+'F-gas EFs (hide)'!$E$11*Table8[[#This Row],[BCF4]]+'F-gas EFs (hide)'!$E$12*Table8[[#This Row],[BC2F6]])*0.001), " ")</f>
        <v xml:space="preserve"> </v>
      </c>
      <c r="H53" s="19"/>
    </row>
    <row r="54" spans="1:8">
      <c r="A54" s="81"/>
      <c r="B54" s="79"/>
      <c r="C54" s="82" t="str">
        <f>IFERROR((VLOOKUP(Table8[[#This Row],[F-gas type]], Table13[#All], 2, FALSE))," ")</f>
        <v xml:space="preserve"> </v>
      </c>
      <c r="D54" s="52" t="str">
        <f>IFERROR((VLOOKUP(Table8[[#This Row],[F-gas type]], Table13[#All], 3, FALSE))," ")</f>
        <v xml:space="preserve"> </v>
      </c>
      <c r="E54" s="52" t="str">
        <f>IFERROR((VLOOKUP(Table8[[#This Row],[F-gas type]], Table13[#All], 4, FALSE))," ")</f>
        <v xml:space="preserve"> </v>
      </c>
      <c r="F54" s="52" t="str">
        <f>IFERROR((VLOOKUP(Table8[[#This Row],[F-gas type]], Table13[#All], 5, FALSE)), " ")</f>
        <v xml:space="preserve"> </v>
      </c>
      <c r="G54" s="56" t="str">
        <f>IFERROR((Table8[[#This Row],[Consumption (kg)]]*(Table8[[#This Row],[GWP]]*Table8[[#This Row],[Ui emission factor]]+'F-gas EFs (hide)'!$E$11*Table8[[#This Row],[BCF4]]+'F-gas EFs (hide)'!$E$12*Table8[[#This Row],[BC2F6]])*0.001), " ")</f>
        <v xml:space="preserve"> </v>
      </c>
      <c r="H54" s="19"/>
    </row>
    <row r="55" spans="1:8">
      <c r="A55" s="190"/>
      <c r="B55" s="194"/>
      <c r="C55" s="118" t="str">
        <f>IFERROR((VLOOKUP(Table8[[#This Row],[F-gas type]], Table13[#All], 2, FALSE))," ")</f>
        <v xml:space="preserve"> </v>
      </c>
      <c r="D55" s="127" t="str">
        <f>IFERROR((VLOOKUP(Table8[[#This Row],[F-gas type]], Table13[#All], 3, FALSE))," ")</f>
        <v xml:space="preserve"> </v>
      </c>
      <c r="E55" s="129" t="str">
        <f>IFERROR((VLOOKUP(Table8[[#This Row],[F-gas type]], Table13[#All], 4, FALSE))," ")</f>
        <v xml:space="preserve"> </v>
      </c>
      <c r="F55" s="129" t="str">
        <f>IFERROR((VLOOKUP(Table8[[#This Row],[F-gas type]], Table13[#All], 5, FALSE)), " ")</f>
        <v xml:space="preserve"> </v>
      </c>
      <c r="G55" s="195" t="str">
        <f>IFERROR((Table8[[#This Row],[Consumption (kg)]]*(Table8[[#This Row],[GWP]]*Table8[[#This Row],[Ui emission factor]]+'F-gas EFs (hide)'!$E$11*Table8[[#This Row],[BCF4]]+'F-gas EFs (hide)'!$E$12*Table8[[#This Row],[BC2F6]])*0.001), " ")</f>
        <v xml:space="preserve"> </v>
      </c>
      <c r="H55" s="19"/>
    </row>
    <row r="56" spans="1:8">
      <c r="A56" s="81"/>
      <c r="B56" s="79"/>
      <c r="C56" s="82" t="str">
        <f>IFERROR((VLOOKUP(Table8[[#This Row],[F-gas type]], Table13[#All], 2, FALSE))," ")</f>
        <v xml:space="preserve"> </v>
      </c>
      <c r="D56" s="52" t="str">
        <f>IFERROR((VLOOKUP(Table8[[#This Row],[F-gas type]], Table13[#All], 3, FALSE))," ")</f>
        <v xml:space="preserve"> </v>
      </c>
      <c r="E56" s="52" t="str">
        <f>IFERROR((VLOOKUP(Table8[[#This Row],[F-gas type]], Table13[#All], 4, FALSE))," ")</f>
        <v xml:space="preserve"> </v>
      </c>
      <c r="F56" s="52" t="str">
        <f>IFERROR((VLOOKUP(Table8[[#This Row],[F-gas type]], Table13[#All], 5, FALSE)), " ")</f>
        <v xml:space="preserve"> </v>
      </c>
      <c r="G56" s="56" t="str">
        <f>IFERROR((Table8[[#This Row],[Consumption (kg)]]*(Table8[[#This Row],[GWP]]*Table8[[#This Row],[Ui emission factor]]+'F-gas EFs (hide)'!$E$11*Table8[[#This Row],[BCF4]]+'F-gas EFs (hide)'!$E$12*Table8[[#This Row],[BC2F6]])*0.001), " ")</f>
        <v xml:space="preserve"> </v>
      </c>
      <c r="H56" s="19"/>
    </row>
    <row r="57" spans="1:8">
      <c r="A57" s="190"/>
      <c r="B57" s="194"/>
      <c r="C57" s="192" t="str">
        <f>IFERROR((VLOOKUP(Table8[[#This Row],[F-gas type]], Table13[#All], 2, FALSE))," ")</f>
        <v xml:space="preserve"> </v>
      </c>
      <c r="D57" s="127" t="str">
        <f>IFERROR((VLOOKUP(Table8[[#This Row],[F-gas type]], Table13[#All], 3, FALSE))," ")</f>
        <v xml:space="preserve"> </v>
      </c>
      <c r="E57" s="127" t="str">
        <f>IFERROR((VLOOKUP(Table8[[#This Row],[F-gas type]], Table13[#All], 4, FALSE))," ")</f>
        <v xml:space="preserve"> </v>
      </c>
      <c r="F57" s="127" t="str">
        <f>IFERROR((VLOOKUP(Table8[[#This Row],[F-gas type]], Table13[#All], 5, FALSE)), " ")</f>
        <v xml:space="preserve"> </v>
      </c>
      <c r="G57" s="195" t="str">
        <f>IFERROR((Table8[[#This Row],[Consumption (kg)]]*(Table8[[#This Row],[GWP]]*Table8[[#This Row],[Ui emission factor]]+'F-gas EFs (hide)'!$E$11*Table8[[#This Row],[BCF4]]+'F-gas EFs (hide)'!$E$12*Table8[[#This Row],[BC2F6]])*0.001), " ")</f>
        <v xml:space="preserve"> </v>
      </c>
      <c r="H57" s="19"/>
    </row>
    <row r="58" spans="1:8">
      <c r="A58" s="81"/>
      <c r="B58" s="79"/>
      <c r="C58" s="82" t="str">
        <f>IFERROR((VLOOKUP(Table8[[#This Row],[F-gas type]], Table13[#All], 2, FALSE))," ")</f>
        <v xml:space="preserve"> </v>
      </c>
      <c r="D58" s="52" t="str">
        <f>IFERROR((VLOOKUP(Table8[[#This Row],[F-gas type]], Table13[#All], 3, FALSE))," ")</f>
        <v xml:space="preserve"> </v>
      </c>
      <c r="E58" s="52" t="str">
        <f>IFERROR((VLOOKUP(Table8[[#This Row],[F-gas type]], Table13[#All], 4, FALSE))," ")</f>
        <v xml:space="preserve"> </v>
      </c>
      <c r="F58" s="52" t="str">
        <f>IFERROR((VLOOKUP(Table8[[#This Row],[F-gas type]], Table13[#All], 5, FALSE)), " ")</f>
        <v xml:space="preserve"> </v>
      </c>
      <c r="G58" s="56" t="str">
        <f>IFERROR((Table8[[#This Row],[Consumption (kg)]]*(Table8[[#This Row],[GWP]]*Table8[[#This Row],[Ui emission factor]]+'F-gas EFs (hide)'!$E$11*Table8[[#This Row],[BCF4]]+'F-gas EFs (hide)'!$E$12*Table8[[#This Row],[BC2F6]])*0.001), " ")</f>
        <v xml:space="preserve"> </v>
      </c>
      <c r="H58" s="19"/>
    </row>
    <row r="59" spans="1:8">
      <c r="A59" s="190"/>
      <c r="B59" s="194"/>
      <c r="C59" s="192" t="str">
        <f>IFERROR((VLOOKUP(Table8[[#This Row],[F-gas type]], Table13[#All], 2, FALSE))," ")</f>
        <v xml:space="preserve"> </v>
      </c>
      <c r="D59" s="127" t="str">
        <f>IFERROR((VLOOKUP(Table8[[#This Row],[F-gas type]], Table13[#All], 3, FALSE))," ")</f>
        <v xml:space="preserve"> </v>
      </c>
      <c r="E59" s="127" t="str">
        <f>IFERROR((VLOOKUP(Table8[[#This Row],[F-gas type]], Table13[#All], 4, FALSE))," ")</f>
        <v xml:space="preserve"> </v>
      </c>
      <c r="F59" s="127" t="str">
        <f>IFERROR((VLOOKUP(Table8[[#This Row],[F-gas type]], Table13[#All], 5, FALSE)), " ")</f>
        <v xml:space="preserve"> </v>
      </c>
      <c r="G59" s="195" t="str">
        <f>IFERROR((Table8[[#This Row],[Consumption (kg)]]*(Table8[[#This Row],[GWP]]*Table8[[#This Row],[Ui emission factor]]+'F-gas EFs (hide)'!$E$11*Table8[[#This Row],[BCF4]]+'F-gas EFs (hide)'!$E$12*Table8[[#This Row],[BC2F6]])*0.001), " ")</f>
        <v xml:space="preserve"> </v>
      </c>
      <c r="H59" s="19"/>
    </row>
    <row r="60" spans="1:8" ht="18" customHeight="1" thickBot="1">
      <c r="A60" s="81"/>
      <c r="B60" s="80"/>
      <c r="C60" s="78" t="str">
        <f>IFERROR((VLOOKUP(Table8[[#This Row],[F-gas type]], Table13[#All], 2, FALSE))," ")</f>
        <v xml:space="preserve"> </v>
      </c>
      <c r="D60" s="55" t="str">
        <f>IFERROR((VLOOKUP(Table8[[#This Row],[F-gas type]], Table13[#All], 3, FALSE))," ")</f>
        <v xml:space="preserve"> </v>
      </c>
      <c r="E60" s="55" t="str">
        <f>IFERROR((VLOOKUP(Table8[[#This Row],[F-gas type]], Table13[#All], 4, FALSE))," ")</f>
        <v xml:space="preserve"> </v>
      </c>
      <c r="F60" s="55" t="str">
        <f>IFERROR((VLOOKUP(Table8[[#This Row],[F-gas type]], Table13[#All], 5, FALSE)), " ")</f>
        <v xml:space="preserve"> </v>
      </c>
      <c r="G60" s="57" t="str">
        <f>IFERROR((Table8[[#This Row],[Consumption (kg)]]*(Table8[[#This Row],[GWP]]*Table8[[#This Row],[Ui emission factor]]+'F-gas EFs (hide)'!$E$11*Table8[[#This Row],[BCF4]]+'F-gas EFs (hide)'!$E$12*Table8[[#This Row],[BC2F6]])*0.001), " ")</f>
        <v xml:space="preserve"> </v>
      </c>
      <c r="H60" s="19"/>
    </row>
    <row r="61" spans="1:8" ht="15.6">
      <c r="A61" s="1"/>
      <c r="B61" s="5"/>
      <c r="C61" s="5"/>
      <c r="D61" s="5"/>
      <c r="E61" s="5"/>
      <c r="F61" s="308" t="s">
        <v>145</v>
      </c>
      <c r="G61" s="95">
        <f>SUM(Table8[Ei (MT CO2e)])</f>
        <v>0</v>
      </c>
      <c r="H61" s="19"/>
    </row>
    <row r="62" spans="1:8">
      <c r="A62" s="1"/>
      <c r="B62" s="5"/>
      <c r="C62" s="5"/>
      <c r="D62" s="5"/>
      <c r="E62" s="5"/>
      <c r="F62" s="5"/>
      <c r="G62" s="5"/>
      <c r="H62" s="19"/>
    </row>
    <row r="63" spans="1:8" ht="15.6">
      <c r="A63" s="196" t="s">
        <v>153</v>
      </c>
      <c r="B63" s="197">
        <f>G61+D48+D35+D24</f>
        <v>0</v>
      </c>
      <c r="C63" s="197" t="s">
        <v>154</v>
      </c>
      <c r="D63" s="5"/>
      <c r="E63" s="5"/>
      <c r="F63" s="5"/>
      <c r="G63" s="5"/>
      <c r="H63" s="19"/>
    </row>
    <row r="64" spans="1:8">
      <c r="A64" s="1"/>
      <c r="B64" s="5"/>
      <c r="C64" s="5"/>
      <c r="D64" s="5"/>
      <c r="E64" s="5"/>
      <c r="F64" s="5"/>
      <c r="G64" s="5"/>
      <c r="H64" s="19"/>
    </row>
    <row r="65" spans="1:8" ht="15" thickBot="1">
      <c r="A65" s="2"/>
      <c r="B65" s="3"/>
      <c r="C65" s="3"/>
      <c r="D65" s="3"/>
      <c r="E65" s="3"/>
      <c r="F65" s="3"/>
      <c r="G65" s="3"/>
      <c r="H65" s="31"/>
    </row>
  </sheetData>
  <sheetProtection algorithmName="SHA-512" hashValue="3YRnHHDfGVA37DsuD2rAzYr9YTop/LiGmiu8EM8lWS2wtNZiCSnlf0Ou9kOJUc2MB4+HO53xxNEJFPdCitHNPw==" saltValue="2FkeKUeRj4TKtbZs/U4i+w==" spinCount="100000" sheet="1" objects="1" scenarios="1"/>
  <mergeCells count="10">
    <mergeCell ref="A50:G50"/>
    <mergeCell ref="A3:F3"/>
    <mergeCell ref="A4:F4"/>
    <mergeCell ref="A1:F1"/>
    <mergeCell ref="A37:D37"/>
    <mergeCell ref="A7:F7"/>
    <mergeCell ref="A8:F8"/>
    <mergeCell ref="A9:F9"/>
    <mergeCell ref="A12:D12"/>
    <mergeCell ref="A26:D26"/>
  </mergeCells>
  <phoneticPr fontId="29" type="noConversion"/>
  <hyperlinks>
    <hyperlink ref="A2" location="'Table of Contents'!A1" display="return to table of contents" xr:uid="{44D9E8B0-4C5B-4423-ABE1-4FF0593CD596}"/>
  </hyperlinks>
  <pageMargins left="0.7" right="0.7" top="0.75" bottom="0.75" header="0.3" footer="0.3"/>
  <drawing r:id="rId1"/>
  <tableParts count="4">
    <tablePart r:id="rId2"/>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64901F11-0D49-4EB8-8C78-5E880720FD8A}">
          <x14:formula1>
            <xm:f>'F-gas EFs (hide)'!$E$3:$E$7</xm:f>
          </x14:formula1>
          <xm:sqref>A43:A47</xm:sqref>
        </x14:dataValidation>
        <x14:dataValidation type="list" allowBlank="1" showInputMessage="1" showErrorMessage="1" xr:uid="{81A43AB7-3163-43A8-8A15-F09BFBD23E06}">
          <x14:formula1>
            <xm:f>'F-gas EFs (hide)'!$I$3:$I$5</xm:f>
          </x14:formula1>
          <xm:sqref>A32:A34</xm:sqref>
        </x14:dataValidation>
        <x14:dataValidation type="list" allowBlank="1" showInputMessage="1" showErrorMessage="1" xr:uid="{165F5F71-BD60-4319-B5C9-BC2944AD8EC5}">
          <x14:formula1>
            <xm:f>'F-gas EFs (hide)'!$M$3:$M$4</xm:f>
          </x14:formula1>
          <xm:sqref>A54:A60</xm:sqref>
        </x14:dataValidation>
        <x14:dataValidation type="list" allowBlank="1" showInputMessage="1" showErrorMessage="1" xr:uid="{B06D24A0-1C03-4C65-A6D7-42ED25CFF13B}">
          <x14:formula1>
            <xm:f>'F-gas EFs (hide)'!$A$11:$A$18</xm:f>
          </x14:formula1>
          <xm:sqref>A53</xm:sqref>
        </x14:dataValidation>
        <x14:dataValidation type="list" allowBlank="1" showInputMessage="1" showErrorMessage="1" xr:uid="{7C0CCD92-24FA-4131-9CD5-2DE0876E5718}">
          <x14:formula1>
            <xm:f>'F-gas EFs (hide)'!$A$3:$A$8</xm:f>
          </x14:formula1>
          <xm:sqref>A18:A23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E6636-851C-4DE6-93DF-4067ED6C81A8}">
  <dimension ref="A1:J52"/>
  <sheetViews>
    <sheetView showGridLines="0" zoomScale="115" zoomScaleNormal="115" workbookViewId="0">
      <pane ySplit="3" topLeftCell="A4" activePane="bottomLeft" state="frozen"/>
      <selection pane="bottomLeft" activeCell="G15" sqref="G15"/>
    </sheetView>
  </sheetViews>
  <sheetFormatPr defaultRowHeight="14.45"/>
  <cols>
    <col min="1" max="1" width="45" customWidth="1"/>
    <col min="2" max="2" width="17.28515625" customWidth="1"/>
    <col min="3" max="3" width="21.85546875" bestFit="1" customWidth="1"/>
    <col min="4" max="4" width="20.42578125" bestFit="1" customWidth="1"/>
    <col min="5" max="5" width="20.85546875" bestFit="1" customWidth="1"/>
    <col min="6" max="6" width="20.140625" customWidth="1"/>
    <col min="7" max="7" width="17.42578125" customWidth="1"/>
    <col min="8" max="8" width="22.28515625" customWidth="1"/>
  </cols>
  <sheetData>
    <row r="1" spans="1:8" ht="54" customHeight="1">
      <c r="A1" s="479" t="s">
        <v>155</v>
      </c>
      <c r="B1" s="479"/>
      <c r="C1" s="479"/>
      <c r="D1" s="479"/>
      <c r="E1" s="479"/>
      <c r="F1" s="479"/>
      <c r="G1" s="479"/>
      <c r="H1" s="479"/>
    </row>
    <row r="2" spans="1:8">
      <c r="A2" s="186" t="s">
        <v>18</v>
      </c>
    </row>
    <row r="3" spans="1:8" ht="43.15">
      <c r="A3" s="198" t="s">
        <v>156</v>
      </c>
      <c r="B3" s="198" t="s">
        <v>157</v>
      </c>
      <c r="C3" s="198" t="s">
        <v>158</v>
      </c>
      <c r="D3" s="198" t="s">
        <v>159</v>
      </c>
      <c r="E3" s="198" t="s">
        <v>160</v>
      </c>
      <c r="F3" s="198" t="s">
        <v>161</v>
      </c>
      <c r="G3" s="198" t="s">
        <v>162</v>
      </c>
      <c r="H3" s="198" t="s">
        <v>163</v>
      </c>
    </row>
    <row r="4" spans="1:8">
      <c r="A4" s="199" t="s">
        <v>164</v>
      </c>
      <c r="B4" s="199" t="s">
        <v>165</v>
      </c>
      <c r="C4" s="199"/>
      <c r="D4" s="199"/>
      <c r="E4" s="199"/>
      <c r="F4" s="199"/>
      <c r="G4" s="199"/>
      <c r="H4" s="199"/>
    </row>
    <row r="5" spans="1:8" s="49" customFormat="1">
      <c r="A5" s="53" t="s">
        <v>166</v>
      </c>
      <c r="B5" s="53">
        <v>25.09</v>
      </c>
      <c r="C5" s="53">
        <v>103.69</v>
      </c>
      <c r="D5" s="53">
        <v>11</v>
      </c>
      <c r="E5" s="53">
        <v>1.6</v>
      </c>
      <c r="F5" s="53">
        <v>41.939</v>
      </c>
      <c r="G5" s="53">
        <f>C5+(D5*84/1000)+(E5*264/1000)+F5</f>
        <v>146.97540000000001</v>
      </c>
      <c r="H5" s="53">
        <f>C5+(D5*84/1000)+(E5*264/1000)</f>
        <v>105.0364</v>
      </c>
    </row>
    <row r="6" spans="1:8">
      <c r="A6" s="185" t="s">
        <v>167</v>
      </c>
      <c r="B6" s="185">
        <v>24.93</v>
      </c>
      <c r="C6" s="185">
        <v>93.28</v>
      </c>
      <c r="D6" s="185">
        <v>11</v>
      </c>
      <c r="E6" s="185">
        <v>1.6</v>
      </c>
      <c r="F6" s="185">
        <v>41.939</v>
      </c>
      <c r="G6" s="185">
        <f>C6+(D6*84/1000)+(E6*264/1000)+F6</f>
        <v>136.56540000000001</v>
      </c>
      <c r="H6" s="185">
        <f>C6+(D6*84/1000)+(E6*264/1000)</f>
        <v>94.626400000000004</v>
      </c>
    </row>
    <row r="7" spans="1:8" s="49" customFormat="1">
      <c r="A7" s="53" t="s">
        <v>168</v>
      </c>
      <c r="B7" s="53">
        <v>17.25</v>
      </c>
      <c r="C7" s="53">
        <v>97.17</v>
      </c>
      <c r="D7" s="53">
        <v>11</v>
      </c>
      <c r="E7" s="53">
        <v>1.6</v>
      </c>
      <c r="F7" s="53">
        <v>41.939</v>
      </c>
      <c r="G7" s="53">
        <f>C7+(D7*84/1000)+(E7*264/1000)+F7</f>
        <v>140.4554</v>
      </c>
      <c r="H7" s="53">
        <f>C7+(D7*84/1000)+(E7*264/1000)</f>
        <v>98.516400000000004</v>
      </c>
    </row>
    <row r="8" spans="1:8">
      <c r="A8" s="185" t="s">
        <v>169</v>
      </c>
      <c r="B8" s="185">
        <v>14.21</v>
      </c>
      <c r="C8" s="185">
        <v>97.72</v>
      </c>
      <c r="D8" s="185">
        <v>11</v>
      </c>
      <c r="E8" s="185">
        <v>1.6</v>
      </c>
      <c r="F8" s="185">
        <v>41.939</v>
      </c>
      <c r="G8" s="185">
        <f>C8+(D8*84/1000)+(E8*264/1000)+F8</f>
        <v>141.00540000000001</v>
      </c>
      <c r="H8" s="185">
        <f>C8+(D8*84/1000)+(E8*264/1000)</f>
        <v>99.066400000000002</v>
      </c>
    </row>
    <row r="9" spans="1:8" s="49" customFormat="1">
      <c r="A9" s="53" t="s">
        <v>170</v>
      </c>
      <c r="B9" s="53">
        <v>24.8</v>
      </c>
      <c r="C9" s="53">
        <v>113.67</v>
      </c>
      <c r="D9" s="53">
        <v>11</v>
      </c>
      <c r="E9" s="53">
        <v>1.6</v>
      </c>
      <c r="F9" s="53">
        <v>41.939</v>
      </c>
      <c r="G9" s="53">
        <f>C9+(D9*84/1000)+(E9*264/1000)+F9</f>
        <v>156.9554</v>
      </c>
      <c r="H9" s="53">
        <f>C9+(D9*84/1000)+(E9*264/1000)</f>
        <v>115.0164</v>
      </c>
    </row>
    <row r="10" spans="1:8">
      <c r="A10" s="199" t="s">
        <v>171</v>
      </c>
      <c r="B10" s="199" t="s">
        <v>172</v>
      </c>
      <c r="C10" s="199"/>
      <c r="D10" s="199"/>
      <c r="E10" s="199"/>
      <c r="F10" s="199"/>
      <c r="G10" s="199"/>
      <c r="H10" s="199"/>
    </row>
    <row r="11" spans="1:8" s="49" customFormat="1">
      <c r="A11" s="53" t="s">
        <v>173</v>
      </c>
      <c r="B11" s="53">
        <v>0.13900000000000001</v>
      </c>
      <c r="C11" s="53">
        <v>73.25</v>
      </c>
      <c r="D11" s="53">
        <v>3</v>
      </c>
      <c r="E11" s="53">
        <v>0.6</v>
      </c>
      <c r="F11" s="53">
        <v>23.54</v>
      </c>
      <c r="G11" s="53">
        <f t="shared" ref="G11:G26" si="0">C11+(D11*84/1000)+(E11*264/1000)+F11</f>
        <v>97.200400000000002</v>
      </c>
      <c r="H11" s="53">
        <f t="shared" ref="H11:H26" si="1">C11+(D11*84/1000)+(E11*264/1000)</f>
        <v>73.660399999999996</v>
      </c>
    </row>
    <row r="12" spans="1:8">
      <c r="A12" s="185" t="s">
        <v>174</v>
      </c>
      <c r="B12" s="185">
        <v>0.13800000000000001</v>
      </c>
      <c r="C12" s="185">
        <v>73.959999999999994</v>
      </c>
      <c r="D12" s="185">
        <v>3</v>
      </c>
      <c r="E12" s="185">
        <v>0.6</v>
      </c>
      <c r="F12" s="185">
        <v>23.54</v>
      </c>
      <c r="G12" s="185">
        <f t="shared" si="0"/>
        <v>97.910399999999981</v>
      </c>
      <c r="H12" s="185">
        <f t="shared" si="1"/>
        <v>74.370399999999989</v>
      </c>
    </row>
    <row r="13" spans="1:8" s="49" customFormat="1">
      <c r="A13" s="53" t="s">
        <v>175</v>
      </c>
      <c r="B13" s="53">
        <v>0.14599999999999999</v>
      </c>
      <c r="C13" s="53">
        <v>75.040000000000006</v>
      </c>
      <c r="D13" s="53">
        <v>3</v>
      </c>
      <c r="E13" s="53">
        <v>0.6</v>
      </c>
      <c r="F13" s="53">
        <v>23.54</v>
      </c>
      <c r="G13" s="53">
        <f t="shared" si="0"/>
        <v>98.990399999999994</v>
      </c>
      <c r="H13" s="53">
        <f t="shared" si="1"/>
        <v>75.450400000000002</v>
      </c>
    </row>
    <row r="14" spans="1:8">
      <c r="A14" s="185" t="s">
        <v>176</v>
      </c>
      <c r="B14" s="185">
        <v>0.13500000000000001</v>
      </c>
      <c r="C14" s="185">
        <v>75.2</v>
      </c>
      <c r="D14" s="185">
        <v>3</v>
      </c>
      <c r="E14" s="185">
        <v>0.6</v>
      </c>
      <c r="F14" s="185">
        <v>18.193000000000001</v>
      </c>
      <c r="G14" s="185">
        <f t="shared" si="0"/>
        <v>93.803399999999996</v>
      </c>
      <c r="H14" s="185">
        <f t="shared" si="1"/>
        <v>75.610399999999998</v>
      </c>
    </row>
    <row r="15" spans="1:8" s="49" customFormat="1">
      <c r="A15" s="53" t="s">
        <v>177</v>
      </c>
      <c r="B15" s="53">
        <v>9.1999999999999998E-2</v>
      </c>
      <c r="C15" s="53">
        <v>62.98</v>
      </c>
      <c r="D15" s="53">
        <v>3</v>
      </c>
      <c r="E15" s="53">
        <v>0.6</v>
      </c>
      <c r="F15" s="53">
        <v>26.474</v>
      </c>
      <c r="G15" s="53">
        <f t="shared" si="0"/>
        <v>89.864400000000003</v>
      </c>
      <c r="H15" s="53">
        <f t="shared" si="1"/>
        <v>63.3904</v>
      </c>
    </row>
    <row r="16" spans="1:8">
      <c r="A16" s="185" t="s">
        <v>178</v>
      </c>
      <c r="B16" s="185">
        <v>9.0999999999999998E-2</v>
      </c>
      <c r="C16" s="185">
        <v>67.77</v>
      </c>
      <c r="D16" s="185">
        <v>3</v>
      </c>
      <c r="E16" s="185">
        <v>0.6</v>
      </c>
      <c r="F16" s="185">
        <v>26.474</v>
      </c>
      <c r="G16" s="185">
        <f t="shared" si="0"/>
        <v>94.654399999999995</v>
      </c>
      <c r="H16" s="185">
        <f t="shared" si="1"/>
        <v>68.180399999999992</v>
      </c>
    </row>
    <row r="17" spans="1:8" s="49" customFormat="1">
      <c r="A17" s="53" t="s">
        <v>179</v>
      </c>
      <c r="B17" s="53">
        <v>6.8000000000000005E-2</v>
      </c>
      <c r="C17" s="53">
        <v>59.6</v>
      </c>
      <c r="D17" s="53">
        <v>3</v>
      </c>
      <c r="E17" s="53">
        <v>0.6</v>
      </c>
      <c r="F17" s="53">
        <v>40.877000000000002</v>
      </c>
      <c r="G17" s="53">
        <f t="shared" si="0"/>
        <v>100.88740000000001</v>
      </c>
      <c r="H17" s="53">
        <f t="shared" si="1"/>
        <v>60.010400000000004</v>
      </c>
    </row>
    <row r="18" spans="1:8">
      <c r="A18" s="185" t="s">
        <v>180</v>
      </c>
      <c r="B18" s="185">
        <v>5.8000000000000003E-2</v>
      </c>
      <c r="C18" s="185">
        <v>65.959999999999994</v>
      </c>
      <c r="D18" s="185">
        <v>3</v>
      </c>
      <c r="E18" s="185">
        <v>0.6</v>
      </c>
      <c r="F18" s="185">
        <v>40.877000000000002</v>
      </c>
      <c r="G18" s="185">
        <f t="shared" si="0"/>
        <v>107.2474</v>
      </c>
      <c r="H18" s="185">
        <f t="shared" si="1"/>
        <v>66.370399999999989</v>
      </c>
    </row>
    <row r="19" spans="1:8" s="49" customFormat="1">
      <c r="A19" s="53" t="s">
        <v>181</v>
      </c>
      <c r="B19" s="53">
        <v>9.9000000000000005E-2</v>
      </c>
      <c r="C19" s="53">
        <v>64.94</v>
      </c>
      <c r="D19" s="53">
        <v>3</v>
      </c>
      <c r="E19" s="53">
        <v>0.6</v>
      </c>
      <c r="F19" s="53">
        <v>40.877000000000002</v>
      </c>
      <c r="G19" s="53">
        <f t="shared" si="0"/>
        <v>106.22739999999999</v>
      </c>
      <c r="H19" s="53">
        <f t="shared" si="1"/>
        <v>65.350399999999993</v>
      </c>
    </row>
    <row r="20" spans="1:8">
      <c r="A20" s="185" t="s">
        <v>182</v>
      </c>
      <c r="B20" s="185">
        <v>0.10299999999999999</v>
      </c>
      <c r="C20" s="185">
        <v>68.86</v>
      </c>
      <c r="D20" s="185">
        <v>3</v>
      </c>
      <c r="E20" s="185">
        <v>0.6</v>
      </c>
      <c r="F20" s="185">
        <v>40.877000000000002</v>
      </c>
      <c r="G20" s="185">
        <f t="shared" si="0"/>
        <v>110.1474</v>
      </c>
      <c r="H20" s="185">
        <f t="shared" si="1"/>
        <v>69.270399999999995</v>
      </c>
    </row>
    <row r="21" spans="1:8" s="49" customFormat="1">
      <c r="A21" s="53" t="s">
        <v>183</v>
      </c>
      <c r="B21" s="53">
        <v>0.10299999999999999</v>
      </c>
      <c r="C21" s="53">
        <v>64.77</v>
      </c>
      <c r="D21" s="53">
        <v>3</v>
      </c>
      <c r="E21" s="53">
        <v>0.6</v>
      </c>
      <c r="F21" s="53">
        <v>40.877000000000002</v>
      </c>
      <c r="G21" s="53">
        <f t="shared" si="0"/>
        <v>106.0574</v>
      </c>
      <c r="H21" s="53">
        <f t="shared" si="1"/>
        <v>65.180399999999992</v>
      </c>
    </row>
    <row r="22" spans="1:8">
      <c r="A22" s="185" t="s">
        <v>184</v>
      </c>
      <c r="B22" s="185">
        <v>0.105</v>
      </c>
      <c r="C22" s="185">
        <v>68.72</v>
      </c>
      <c r="D22" s="185">
        <v>3</v>
      </c>
      <c r="E22" s="185">
        <v>0.6</v>
      </c>
      <c r="F22" s="185">
        <v>40.877000000000002</v>
      </c>
      <c r="G22" s="185">
        <f t="shared" si="0"/>
        <v>110.00739999999999</v>
      </c>
      <c r="H22" s="185">
        <f t="shared" si="1"/>
        <v>69.130399999999995</v>
      </c>
    </row>
    <row r="23" spans="1:8" s="49" customFormat="1">
      <c r="A23" s="53" t="s">
        <v>185</v>
      </c>
      <c r="B23" s="53">
        <v>0.11</v>
      </c>
      <c r="C23" s="53">
        <v>66.83</v>
      </c>
      <c r="D23" s="53">
        <v>3</v>
      </c>
      <c r="E23" s="53">
        <v>0.6</v>
      </c>
      <c r="F23" s="53">
        <v>40.877000000000002</v>
      </c>
      <c r="G23" s="53">
        <f t="shared" si="0"/>
        <v>108.1174</v>
      </c>
      <c r="H23" s="53">
        <f t="shared" si="1"/>
        <v>67.240399999999994</v>
      </c>
    </row>
    <row r="24" spans="1:8">
      <c r="A24" s="185" t="s">
        <v>186</v>
      </c>
      <c r="B24" s="185">
        <v>0.125</v>
      </c>
      <c r="C24" s="185">
        <v>70.22</v>
      </c>
      <c r="D24" s="185">
        <v>3</v>
      </c>
      <c r="E24" s="185">
        <v>0.6</v>
      </c>
      <c r="F24" s="185">
        <v>28.866</v>
      </c>
      <c r="G24" s="185">
        <f t="shared" si="0"/>
        <v>99.496399999999994</v>
      </c>
      <c r="H24" s="185">
        <f t="shared" si="1"/>
        <v>70.630399999999995</v>
      </c>
    </row>
    <row r="25" spans="1:8" s="49" customFormat="1">
      <c r="A25" s="53" t="s">
        <v>187</v>
      </c>
      <c r="B25" s="53">
        <v>0.12</v>
      </c>
      <c r="C25" s="53">
        <v>69.25</v>
      </c>
      <c r="D25" s="53">
        <v>3</v>
      </c>
      <c r="E25" s="53">
        <v>0.6</v>
      </c>
      <c r="F25" s="53">
        <v>18.193000000000001</v>
      </c>
      <c r="G25" s="53">
        <f t="shared" si="0"/>
        <v>87.853399999999993</v>
      </c>
      <c r="H25" s="53">
        <f t="shared" si="1"/>
        <v>69.660399999999996</v>
      </c>
    </row>
    <row r="26" spans="1:8">
      <c r="A26" s="185" t="s">
        <v>188</v>
      </c>
      <c r="B26" s="185">
        <v>0.13500000000000001</v>
      </c>
      <c r="C26" s="185">
        <v>72.22</v>
      </c>
      <c r="D26" s="185">
        <v>3</v>
      </c>
      <c r="E26" s="185">
        <v>0.6</v>
      </c>
      <c r="F26" s="185">
        <v>18.193000000000001</v>
      </c>
      <c r="G26" s="185">
        <f t="shared" si="0"/>
        <v>90.823399999999992</v>
      </c>
      <c r="H26" s="185">
        <f t="shared" si="1"/>
        <v>72.630399999999995</v>
      </c>
    </row>
    <row r="27" spans="1:8">
      <c r="A27" s="199" t="s">
        <v>189</v>
      </c>
      <c r="B27" s="199" t="s">
        <v>190</v>
      </c>
      <c r="C27" s="199"/>
      <c r="D27" s="199"/>
      <c r="E27" s="199"/>
      <c r="F27" s="199"/>
      <c r="G27" s="199"/>
      <c r="H27" s="199"/>
    </row>
    <row r="28" spans="1:8" ht="15" thickBot="1">
      <c r="A28" s="188" t="s">
        <v>191</v>
      </c>
      <c r="B28" s="185">
        <f>1.026*10^-3</f>
        <v>1.026E-3</v>
      </c>
      <c r="C28" s="185">
        <v>53.06</v>
      </c>
      <c r="D28" s="185">
        <v>1</v>
      </c>
      <c r="E28" s="185">
        <v>0.1</v>
      </c>
      <c r="F28" s="185">
        <v>40.877000000000002</v>
      </c>
      <c r="G28" s="185">
        <f>C28+(D28*84/1000)+(E28*264/1000)+F28</f>
        <v>94.04740000000001</v>
      </c>
      <c r="H28" s="185">
        <f>C28+(D28*84/1000)+(E28*264/1000)</f>
        <v>53.170400000000008</v>
      </c>
    </row>
    <row r="29" spans="1:8">
      <c r="A29" s="200" t="s">
        <v>192</v>
      </c>
      <c r="B29" s="201" t="s">
        <v>193</v>
      </c>
      <c r="C29" s="202"/>
      <c r="D29" s="202"/>
      <c r="E29" s="199"/>
      <c r="F29" s="203"/>
      <c r="G29" s="199"/>
      <c r="H29" s="199"/>
    </row>
    <row r="30" spans="1:8" s="49" customFormat="1">
      <c r="A30" s="69" t="s">
        <v>194</v>
      </c>
      <c r="B30" s="58">
        <f>9.95*10^3</f>
        <v>9950</v>
      </c>
      <c r="C30" s="53">
        <v>90.7</v>
      </c>
      <c r="D30" s="53">
        <v>32</v>
      </c>
      <c r="E30" s="53">
        <v>4.2</v>
      </c>
      <c r="F30" s="58"/>
      <c r="G30" s="53"/>
      <c r="H30" s="53">
        <f>C30+(D30*84/1000)+(E30*264/1000)</f>
        <v>94.496800000000007</v>
      </c>
    </row>
    <row r="31" spans="1:8" s="49" customFormat="1">
      <c r="A31" s="205" t="s">
        <v>195</v>
      </c>
      <c r="B31" s="192">
        <v>28</v>
      </c>
      <c r="C31" s="185">
        <v>85.97</v>
      </c>
      <c r="D31" s="185">
        <v>32</v>
      </c>
      <c r="E31" s="185">
        <v>4.2</v>
      </c>
      <c r="F31" s="192"/>
      <c r="G31" s="185"/>
      <c r="H31" s="185">
        <f>C31+(D31*84/1000)+(E31*264/1000)</f>
        <v>89.766800000000003</v>
      </c>
    </row>
    <row r="32" spans="1:8" s="49" customFormat="1">
      <c r="A32" s="69" t="s">
        <v>196</v>
      </c>
      <c r="B32" s="58">
        <v>38</v>
      </c>
      <c r="C32" s="53">
        <v>75</v>
      </c>
      <c r="D32" s="53">
        <v>32</v>
      </c>
      <c r="E32" s="53">
        <v>4.2</v>
      </c>
      <c r="F32" s="58"/>
      <c r="G32" s="53"/>
      <c r="H32" s="53">
        <f>C32+(D32*84/1000)+(E32*264/1000)</f>
        <v>78.796800000000005</v>
      </c>
    </row>
    <row r="33" spans="1:10">
      <c r="A33" s="204" t="s">
        <v>197</v>
      </c>
      <c r="B33" s="203" t="s">
        <v>193</v>
      </c>
      <c r="C33" s="199"/>
      <c r="D33" s="199"/>
      <c r="E33" s="199"/>
      <c r="F33" s="203"/>
      <c r="G33" s="199"/>
      <c r="H33" s="199"/>
    </row>
    <row r="34" spans="1:10" s="49" customFormat="1">
      <c r="A34" s="69" t="s">
        <v>198</v>
      </c>
      <c r="B34" s="58">
        <v>17.48</v>
      </c>
      <c r="C34" s="53">
        <v>93.8</v>
      </c>
      <c r="D34" s="53">
        <v>7.2</v>
      </c>
      <c r="E34" s="53">
        <v>3.6</v>
      </c>
      <c r="F34" s="58"/>
      <c r="G34" s="53"/>
      <c r="H34" s="53">
        <f>C34+(D34*84/1000)+(E34*264/1000)</f>
        <v>95.355199999999996</v>
      </c>
    </row>
    <row r="35" spans="1:10">
      <c r="A35" s="205" t="s">
        <v>199</v>
      </c>
      <c r="B35" s="192">
        <v>8.25</v>
      </c>
      <c r="C35" s="185">
        <v>118.17</v>
      </c>
      <c r="D35" s="185">
        <v>32</v>
      </c>
      <c r="E35" s="185">
        <v>4.2</v>
      </c>
      <c r="F35" s="192"/>
      <c r="G35" s="185"/>
      <c r="H35" s="185">
        <f>C35+(D35*84/1000)+(E35*264/1000)</f>
        <v>121.96680000000001</v>
      </c>
    </row>
    <row r="36" spans="1:10" s="49" customFormat="1">
      <c r="A36" s="69" t="s">
        <v>200</v>
      </c>
      <c r="B36" s="58">
        <v>8</v>
      </c>
      <c r="C36" s="53">
        <v>111.84</v>
      </c>
      <c r="D36" s="53">
        <v>32</v>
      </c>
      <c r="E36" s="53">
        <v>4.2</v>
      </c>
      <c r="F36" s="58"/>
      <c r="G36" s="53"/>
      <c r="H36" s="53">
        <f>C36+(D36*84/1000)+(E36*264/1000)</f>
        <v>115.63680000000001</v>
      </c>
    </row>
    <row r="37" spans="1:10">
      <c r="A37" s="205" t="s">
        <v>201</v>
      </c>
      <c r="B37" s="192">
        <v>10.39</v>
      </c>
      <c r="C37" s="185">
        <v>105.51</v>
      </c>
      <c r="D37" s="185">
        <v>32</v>
      </c>
      <c r="E37" s="185">
        <v>4.2</v>
      </c>
      <c r="F37" s="192"/>
      <c r="G37" s="185"/>
      <c r="H37" s="185">
        <f>C37+(D37*84/1000)+(E37*264/1000)</f>
        <v>109.30680000000001</v>
      </c>
    </row>
    <row r="38" spans="1:10">
      <c r="A38" s="204" t="s">
        <v>202</v>
      </c>
      <c r="B38" s="203" t="s">
        <v>190</v>
      </c>
      <c r="C38" s="199"/>
      <c r="D38" s="199"/>
      <c r="E38" s="199"/>
      <c r="F38" s="203"/>
      <c r="G38" s="199"/>
      <c r="H38" s="199"/>
    </row>
    <row r="39" spans="1:10" s="49" customFormat="1">
      <c r="A39" s="69" t="s">
        <v>203</v>
      </c>
      <c r="B39" s="58">
        <f>0.485 * 10^-3</f>
        <v>4.8499999999999997E-4</v>
      </c>
      <c r="C39" s="53">
        <v>52.07</v>
      </c>
      <c r="D39" s="53">
        <v>3.2</v>
      </c>
      <c r="E39" s="53">
        <v>0.63</v>
      </c>
      <c r="F39" s="58"/>
      <c r="G39" s="53"/>
      <c r="H39" s="53">
        <f>C39+(D39*84/1000)+(E39*264/1000)</f>
        <v>52.505119999999998</v>
      </c>
    </row>
    <row r="40" spans="1:10">
      <c r="A40" s="205" t="s">
        <v>204</v>
      </c>
      <c r="B40" s="192">
        <f>0.655* 10^-3</f>
        <v>6.5500000000000009E-4</v>
      </c>
      <c r="C40" s="185">
        <v>52.07</v>
      </c>
      <c r="D40" s="185">
        <v>3.2</v>
      </c>
      <c r="E40" s="185">
        <v>0.63</v>
      </c>
      <c r="F40" s="192"/>
      <c r="G40" s="185"/>
      <c r="H40" s="185">
        <f>C40+(D40*84/1000)+(E40*264/1000)</f>
        <v>52.505119999999998</v>
      </c>
    </row>
    <row r="41" spans="1:10">
      <c r="A41" s="204" t="s">
        <v>205</v>
      </c>
      <c r="B41" s="203" t="s">
        <v>206</v>
      </c>
      <c r="C41" s="199"/>
      <c r="D41" s="199"/>
      <c r="E41" s="199"/>
      <c r="F41" s="203"/>
      <c r="G41" s="199"/>
      <c r="H41" s="199"/>
    </row>
    <row r="42" spans="1:10" s="49" customFormat="1">
      <c r="A42" s="69" t="s">
        <v>207</v>
      </c>
      <c r="B42" s="58">
        <v>8.4000000000000005E-2</v>
      </c>
      <c r="C42" s="53">
        <v>68.44</v>
      </c>
      <c r="D42" s="53">
        <v>1.1000000000000001</v>
      </c>
      <c r="E42" s="53">
        <v>0.11</v>
      </c>
      <c r="F42" s="58"/>
      <c r="G42" s="53"/>
      <c r="H42" s="53">
        <f>C42+(D42*84/1000)+(E42*264/1000)</f>
        <v>68.56143999999999</v>
      </c>
    </row>
    <row r="43" spans="1:10">
      <c r="A43" s="205" t="s">
        <v>208</v>
      </c>
      <c r="B43" s="192">
        <v>0.128</v>
      </c>
      <c r="C43" s="185">
        <v>73.84</v>
      </c>
      <c r="D43" s="185">
        <v>1.1000000000000001</v>
      </c>
      <c r="E43" s="185">
        <v>0.11</v>
      </c>
      <c r="F43" s="192"/>
      <c r="G43" s="185"/>
      <c r="H43" s="185">
        <f>C43+(D43*84/1000)+(E43*264/1000)</f>
        <v>73.961439999999996</v>
      </c>
    </row>
    <row r="44" spans="1:10" s="49" customFormat="1">
      <c r="A44" s="69" t="s">
        <v>209</v>
      </c>
      <c r="B44" s="58">
        <v>0.125</v>
      </c>
      <c r="C44" s="53">
        <v>71.06</v>
      </c>
      <c r="D44" s="53">
        <v>1.1000000000000001</v>
      </c>
      <c r="E44" s="53">
        <v>0.11</v>
      </c>
      <c r="F44" s="58"/>
      <c r="G44" s="53"/>
      <c r="H44" s="53">
        <f>C44+(D44*84/1000)+(E44*264/1000)</f>
        <v>71.181439999999995</v>
      </c>
    </row>
    <row r="45" spans="1:10" ht="15" thickBot="1">
      <c r="A45" s="206" t="s">
        <v>210</v>
      </c>
      <c r="B45" s="192">
        <v>0.12</v>
      </c>
      <c r="C45" s="185">
        <v>81.55</v>
      </c>
      <c r="D45" s="185">
        <v>1.1000000000000001</v>
      </c>
      <c r="E45" s="185">
        <v>0.11</v>
      </c>
      <c r="F45" s="192"/>
      <c r="G45" s="185"/>
      <c r="H45" s="185">
        <f>C45+(D45*84/1000)+(E45*264/1000)</f>
        <v>81.67143999999999</v>
      </c>
    </row>
    <row r="46" spans="1:10">
      <c r="J46" s="49"/>
    </row>
    <row r="47" spans="1:10">
      <c r="A47" s="49"/>
    </row>
    <row r="48" spans="1:10">
      <c r="A48" t="s">
        <v>211</v>
      </c>
    </row>
    <row r="50" spans="1:6">
      <c r="A50" t="s">
        <v>212</v>
      </c>
    </row>
    <row r="52" spans="1:6">
      <c r="F52" s="5"/>
    </row>
  </sheetData>
  <mergeCells count="1">
    <mergeCell ref="A1:H1"/>
  </mergeCells>
  <hyperlinks>
    <hyperlink ref="A2" location="'Table of Contents'!A1" display="return to table of contents" xr:uid="{305E2B53-8878-4DCE-8BD8-B94B4FC4B817}"/>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A75B-2C1C-445E-9EB1-E0DF0F55843C}">
  <dimension ref="A1:C11"/>
  <sheetViews>
    <sheetView showGridLines="0" zoomScaleNormal="100" workbookViewId="0">
      <selection activeCell="C6" sqref="C6"/>
    </sheetView>
  </sheetViews>
  <sheetFormatPr defaultRowHeight="14.45"/>
  <cols>
    <col min="1" max="1" width="22" style="4" customWidth="1"/>
    <col min="2" max="2" width="69.42578125" customWidth="1"/>
    <col min="3" max="3" width="19.42578125" customWidth="1"/>
  </cols>
  <sheetData>
    <row r="1" spans="1:3" ht="54.6" customHeight="1">
      <c r="A1" s="480" t="s">
        <v>213</v>
      </c>
      <c r="B1" s="480"/>
      <c r="C1" s="480"/>
    </row>
    <row r="2" spans="1:3" ht="32.450000000000003" customHeight="1">
      <c r="A2" s="481" t="s">
        <v>214</v>
      </c>
      <c r="B2" s="482"/>
      <c r="C2" s="482"/>
    </row>
    <row r="3" spans="1:3" ht="14.45" customHeight="1">
      <c r="A3" s="47" t="s">
        <v>215</v>
      </c>
      <c r="B3" s="186" t="s">
        <v>216</v>
      </c>
    </row>
    <row r="4" spans="1:3" ht="14.45" customHeight="1"/>
    <row r="5" spans="1:3">
      <c r="A5" s="210" t="s">
        <v>217</v>
      </c>
      <c r="B5" s="210" t="s">
        <v>218</v>
      </c>
      <c r="C5" s="197" t="s">
        <v>219</v>
      </c>
    </row>
    <row r="6" spans="1:3" ht="64.5" customHeight="1">
      <c r="A6" s="147" t="s">
        <v>220</v>
      </c>
      <c r="B6" s="207" t="s">
        <v>221</v>
      </c>
      <c r="C6" s="147">
        <v>0</v>
      </c>
    </row>
    <row r="7" spans="1:3" ht="36.75" customHeight="1">
      <c r="A7" s="208" t="s">
        <v>222</v>
      </c>
      <c r="B7" s="209" t="s">
        <v>223</v>
      </c>
      <c r="C7" s="208">
        <v>0.1</v>
      </c>
    </row>
    <row r="8" spans="1:3" ht="53.25" customHeight="1">
      <c r="A8" s="147" t="s">
        <v>224</v>
      </c>
      <c r="B8" s="207" t="s">
        <v>225</v>
      </c>
      <c r="C8" s="147">
        <v>0.1</v>
      </c>
    </row>
    <row r="9" spans="1:3" ht="60.75" customHeight="1">
      <c r="A9" s="208" t="s">
        <v>226</v>
      </c>
      <c r="B9" s="209" t="s">
        <v>227</v>
      </c>
      <c r="C9" s="208">
        <v>0.35</v>
      </c>
    </row>
    <row r="10" spans="1:3" ht="65.25" customHeight="1">
      <c r="A10" s="147" t="s">
        <v>228</v>
      </c>
      <c r="B10" s="207" t="s">
        <v>229</v>
      </c>
      <c r="C10" s="147">
        <v>0.25</v>
      </c>
    </row>
    <row r="11" spans="1:3" ht="68.25" customHeight="1">
      <c r="A11" s="208" t="s">
        <v>230</v>
      </c>
      <c r="B11" s="209" t="s">
        <v>231</v>
      </c>
      <c r="C11" s="208">
        <v>0.1</v>
      </c>
    </row>
  </sheetData>
  <sheetProtection algorithmName="SHA-512" hashValue="fGDlNZ3dmbXbR5eF8A+Z6PUJdzk9qj0mGBpd5vOEzBsxRrbeR5iAVJGPSRr+7gjbGqpFOs6u5+gLrTy0aekxJA==" saltValue="uvRzcC4L/ADy85xy5/G4eg==" spinCount="100000" sheet="1" objects="1" scenarios="1"/>
  <mergeCells count="2">
    <mergeCell ref="A1:C1"/>
    <mergeCell ref="A2:C2"/>
  </mergeCells>
  <phoneticPr fontId="29" type="noConversion"/>
  <hyperlinks>
    <hyperlink ref="A3" location="cover_type" display="return to MSW Landfills" xr:uid="{8EF2064A-C4ED-41DD-BE44-EE909102697B}"/>
    <hyperlink ref="B3" location="cover_type" display="return to Industrial Landfills" xr:uid="{4355BDB7-8D9F-4BE8-8169-C2B21E81EDA1}"/>
  </hyperlink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42AAD2AAA4B840A4F4E7FC718F57B8" ma:contentTypeVersion="16" ma:contentTypeDescription="Create a new document." ma:contentTypeScope="" ma:versionID="f125ef91838f4563ac72f81a15d064df">
  <xsd:schema xmlns:xsd="http://www.w3.org/2001/XMLSchema" xmlns:xs="http://www.w3.org/2001/XMLSchema" xmlns:p="http://schemas.microsoft.com/office/2006/metadata/properties" xmlns:ns2="d27efb73-9b69-44df-a541-35622d1b3aec" xmlns:ns3="a3d202fa-1933-4420-ab07-2ee53e82da18" targetNamespace="http://schemas.microsoft.com/office/2006/metadata/properties" ma:root="true" ma:fieldsID="c1059591b4facad992bb10da9f4ec10f" ns2:_="" ns3:_="">
    <xsd:import namespace="d27efb73-9b69-44df-a541-35622d1b3aec"/>
    <xsd:import namespace="a3d202fa-1933-4420-ab07-2ee53e82da1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InWorkflow" minOccurs="0"/>
                <xsd:element ref="ns2:MediaServiceLocation"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efb73-9b69-44df-a541-35622d1b3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InWorkflow" ma:index="17" nillable="true" ma:displayName="InWorkflow" ma:default="In Workflow" ma:format="RadioButtons" ma:indexed="true" ma:internalName="InWorkflow">
      <xsd:simpleType>
        <xsd:restriction base="dms:Choice">
          <xsd:enumeration value="Completed"/>
          <xsd:enumeration value="In Workflow"/>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202fa-1933-4420-ab07-2ee53e82da1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b6c2b-adfa-4322-af15-bd4b2d671278}" ma:internalName="TaxCatchAll" ma:showField="CatchAllData" ma:web="a3d202fa-1933-4420-ab07-2ee53e82da1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7efb73-9b69-44df-a541-35622d1b3aec">
      <Terms xmlns="http://schemas.microsoft.com/office/infopath/2007/PartnerControls"/>
    </lcf76f155ced4ddcb4097134ff3c332f>
    <TaxCatchAll xmlns="a3d202fa-1933-4420-ab07-2ee53e82da18" xsi:nil="true"/>
    <InWorkflow xmlns="d27efb73-9b69-44df-a541-35622d1b3aec">In Workflow</InWorkflow>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F29936-DA06-47DE-94C1-7403F47BB3E8}"/>
</file>

<file path=customXml/itemProps2.xml><?xml version="1.0" encoding="utf-8"?>
<ds:datastoreItem xmlns:ds="http://schemas.openxmlformats.org/officeDocument/2006/customXml" ds:itemID="{DA90369E-51E2-4B04-896C-3975DD9129A9}"/>
</file>

<file path=customXml/itemProps3.xml><?xml version="1.0" encoding="utf-8"?>
<ds:datastoreItem xmlns:ds="http://schemas.openxmlformats.org/officeDocument/2006/customXml" ds:itemID="{D793548B-9CF0-481C-8973-A3CAAEFECECF}"/>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Brinsko, Dan (DEC)</dc:creator>
  <cp:keywords/>
  <dc:description/>
  <cp:lastModifiedBy/>
  <cp:revision/>
  <dcterms:created xsi:type="dcterms:W3CDTF">2025-03-11T12:59:34Z</dcterms:created>
  <dcterms:modified xsi:type="dcterms:W3CDTF">2025-11-29T01:14:20Z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0x0101008F42AAD2AAA4B840A4F4E7FC718F57B8</vt:lpwstr>
  </property>
  <property fmtid="{D5CDD505-2E9C-101B-9397-08002B2CF9AE}" pid="3" name="MediaServiceImageTags">
    <vt:lpwstr/>
  </property>
</Properties>
</file>